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230" yWindow="-15" windowWidth="10275" windowHeight="6750"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 r:id="rId22"/>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log'!$A$1:$D$66</definedName>
    <definedName name="_xlnm.Print_Area" localSheetId="2">'Content &amp; Version Control'!$A$1:$H$19</definedName>
    <definedName name="_xlnm.Print_Area" localSheetId="4">'R1 - RoRE'!$A$1:$O$66</definedName>
    <definedName name="_xlnm.Print_Area" localSheetId="13">'R10 - Tax'!$A$1:$L$90</definedName>
    <definedName name="_xlnm.Print_Area" localSheetId="14">'R11 - Dividends'!$A$1:$L$15</definedName>
    <definedName name="_xlnm.Print_Area" localSheetId="15">'R12 - Pensions'!$A$1:$K$40</definedName>
    <definedName name="_xlnm.Print_Area" localSheetId="16">'R13 - Other Activities '!$A$1:$L$21</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Incentives'!$A$1:$M$114</definedName>
    <definedName name="_xlnm.Print_Area" localSheetId="9">'R6 - Innovation'!$A$1:$L$28</definedName>
    <definedName name="_xlnm.Print_Area" localSheetId="10">'R7 - Financing'!$A$1:$M$89</definedName>
    <definedName name="_xlnm.Print_Area" localSheetId="11">'R8 - Net Debt'!$A$1:$L$66</definedName>
    <definedName name="_xlnm.Print_Area" localSheetId="12">'R9 - RAV'!$A$1:$L$59</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3" i="29" l="1"/>
  <c r="F73" i="29"/>
  <c r="G73" i="29"/>
  <c r="D73" i="29"/>
  <c r="G20" i="20" l="1"/>
  <c r="G21" i="20" s="1"/>
  <c r="J16" i="20"/>
  <c r="K14" i="20"/>
  <c r="K16" i="20" s="1"/>
  <c r="J14" i="20"/>
  <c r="I14" i="20"/>
  <c r="I16" i="20" s="1"/>
  <c r="H14" i="20"/>
  <c r="H16" i="20" s="1"/>
  <c r="G14" i="20"/>
  <c r="G16" i="20" s="1"/>
  <c r="H19" i="20" l="1"/>
  <c r="J19" i="20"/>
  <c r="I19" i="20"/>
  <c r="I20" i="20" s="1"/>
  <c r="I21" i="20" s="1"/>
  <c r="K19" i="20"/>
  <c r="K20" i="20" l="1"/>
  <c r="K21" i="20"/>
  <c r="J20" i="20"/>
  <c r="J21" i="20" s="1"/>
  <c r="H20" i="20"/>
  <c r="H21" i="20" s="1"/>
  <c r="J17" i="3" l="1"/>
  <c r="I17" i="3"/>
  <c r="H17" i="3"/>
  <c r="D17" i="3"/>
  <c r="F12" i="3"/>
  <c r="G17" i="3"/>
  <c r="E17" i="3"/>
  <c r="F17" i="3"/>
  <c r="G12" i="3"/>
  <c r="K17" i="3" l="1"/>
  <c r="K12" i="3"/>
  <c r="J12" i="3"/>
  <c r="E12" i="3"/>
  <c r="D12" i="3"/>
  <c r="H12" i="3"/>
  <c r="I12" i="3"/>
  <c r="B108" i="5"/>
  <c r="B106" i="5"/>
  <c r="F46" i="15" l="1"/>
  <c r="D18" i="15"/>
  <c r="D23" i="15" s="1"/>
  <c r="F18" i="15"/>
  <c r="F23" i="15" s="1"/>
  <c r="E18" i="15"/>
  <c r="E23" i="15" s="1"/>
  <c r="E46" i="15"/>
  <c r="D46" i="15"/>
  <c r="D48" i="15" s="1"/>
  <c r="F48" i="15"/>
  <c r="E48" i="15" l="1"/>
  <c r="I15" i="5"/>
  <c r="B3" i="1" l="1"/>
  <c r="B3" i="11" l="1"/>
  <c r="B3" i="3"/>
  <c r="B3" i="17"/>
  <c r="B3" i="27"/>
  <c r="K23" i="15" l="1"/>
  <c r="J23" i="15"/>
  <c r="I23" i="15"/>
  <c r="H23" i="15"/>
  <c r="K18" i="15"/>
  <c r="J18" i="15"/>
  <c r="I18" i="15"/>
  <c r="H18" i="15"/>
  <c r="D31" i="10" l="1"/>
  <c r="K31" i="10" l="1"/>
  <c r="J31" i="10"/>
  <c r="I31" i="10"/>
  <c r="H31" i="10"/>
  <c r="G31" i="10"/>
  <c r="F31" i="10"/>
  <c r="E31" i="10"/>
  <c r="E54" i="17" l="1"/>
  <c r="F54" i="17"/>
  <c r="D54" i="17"/>
  <c r="G54" i="17"/>
  <c r="H68" i="4" l="1"/>
  <c r="I68" i="4"/>
  <c r="J68" i="4"/>
  <c r="K68" i="4"/>
  <c r="A111" i="5" l="1"/>
  <c r="A110" i="5"/>
  <c r="E102" i="5"/>
  <c r="F102" i="5"/>
  <c r="D102" i="5"/>
  <c r="A100" i="5"/>
  <c r="A97" i="5"/>
  <c r="E18" i="5"/>
  <c r="F18" i="5"/>
  <c r="G18" i="5"/>
  <c r="H18" i="5"/>
  <c r="I18" i="5"/>
  <c r="J18" i="5"/>
  <c r="K18" i="5"/>
  <c r="D18" i="5"/>
  <c r="H73" i="5"/>
  <c r="D73" i="5"/>
  <c r="K73" i="5"/>
  <c r="K49" i="5"/>
  <c r="J49" i="5"/>
  <c r="I49" i="5"/>
  <c r="H49" i="5"/>
  <c r="G49" i="5"/>
  <c r="F49" i="5"/>
  <c r="E49" i="5"/>
  <c r="D49" i="5"/>
  <c r="K53" i="5"/>
  <c r="J53" i="5"/>
  <c r="I53" i="5"/>
  <c r="H53" i="5"/>
  <c r="G53" i="5"/>
  <c r="F53" i="5"/>
  <c r="E53" i="5"/>
  <c r="D53" i="5"/>
  <c r="K57" i="5"/>
  <c r="J57" i="5"/>
  <c r="I57" i="5"/>
  <c r="H57" i="5"/>
  <c r="G57" i="5"/>
  <c r="F57" i="5"/>
  <c r="E57" i="5"/>
  <c r="D57" i="5"/>
  <c r="K61" i="5"/>
  <c r="J61" i="5"/>
  <c r="I61" i="5"/>
  <c r="H61" i="5"/>
  <c r="G61" i="5"/>
  <c r="F61" i="5"/>
  <c r="E61" i="5"/>
  <c r="D61" i="5"/>
  <c r="K65" i="5"/>
  <c r="J65" i="5"/>
  <c r="I65" i="5"/>
  <c r="H65" i="5"/>
  <c r="G65" i="5"/>
  <c r="F65" i="5"/>
  <c r="E65" i="5"/>
  <c r="D65" i="5"/>
  <c r="E69" i="5"/>
  <c r="F69" i="5"/>
  <c r="G69" i="5"/>
  <c r="H69" i="5"/>
  <c r="I69" i="5"/>
  <c r="J69" i="5"/>
  <c r="K69" i="5"/>
  <c r="D69" i="5"/>
  <c r="A69" i="5"/>
  <c r="M16" i="5"/>
  <c r="M17" i="5"/>
  <c r="A44" i="5"/>
  <c r="A45" i="5"/>
  <c r="E73" i="5" l="1"/>
  <c r="I73" i="5"/>
  <c r="F73" i="5"/>
  <c r="J73" i="5"/>
  <c r="G73" i="5"/>
  <c r="M73" i="5" l="1"/>
  <c r="M69" i="5"/>
  <c r="E21" i="20" l="1"/>
  <c r="F21" i="20"/>
  <c r="D21" i="20"/>
  <c r="F153" i="28" l="1"/>
  <c r="F152" i="28"/>
  <c r="E182" i="28"/>
  <c r="F155" i="28" s="1"/>
  <c r="B182" i="28"/>
  <c r="F154" i="28" s="1"/>
  <c r="E192" i="28"/>
  <c r="F157" i="28" s="1"/>
  <c r="B192" i="28"/>
  <c r="F156" i="28" s="1"/>
  <c r="E202" i="28"/>
  <c r="F159" i="28" s="1"/>
  <c r="B202" i="28"/>
  <c r="F158" i="28" s="1"/>
  <c r="K46" i="15" l="1"/>
  <c r="J46" i="15"/>
  <c r="I46" i="15"/>
  <c r="H46" i="15"/>
  <c r="J43" i="28" l="1"/>
  <c r="G43" i="28"/>
  <c r="H43" i="28"/>
  <c r="I43" i="28"/>
  <c r="K63" i="29" l="1"/>
  <c r="J63" i="29"/>
  <c r="I63" i="29"/>
  <c r="H63" i="29"/>
  <c r="G63" i="29"/>
  <c r="E63" i="29"/>
  <c r="D63" i="29"/>
  <c r="F63" i="29"/>
  <c r="D118" i="28" l="1"/>
  <c r="E118" i="28" s="1"/>
  <c r="F118" i="28" s="1"/>
  <c r="G118" i="28" s="1"/>
  <c r="H118" i="28" s="1"/>
  <c r="I118" i="28" s="1"/>
  <c r="J118" i="28" s="1"/>
  <c r="K118" i="28" s="1"/>
  <c r="L118" i="28" s="1"/>
  <c r="A22" i="5" l="1"/>
  <c r="A23" i="5"/>
  <c r="A24" i="5"/>
  <c r="A25" i="5"/>
  <c r="A21" i="5"/>
  <c r="K19" i="29" l="1"/>
  <c r="J19" i="29"/>
  <c r="I19" i="29"/>
  <c r="H19" i="29"/>
  <c r="G19" i="29"/>
  <c r="F19" i="29"/>
  <c r="E19" i="29"/>
  <c r="D19" i="29"/>
  <c r="R100" i="28" l="1"/>
  <c r="Q100" i="28"/>
  <c r="P100" i="28"/>
  <c r="O100" i="28"/>
  <c r="N100" i="28"/>
  <c r="M100" i="28"/>
  <c r="L100" i="28"/>
  <c r="R99" i="28"/>
  <c r="Q99" i="28"/>
  <c r="P99" i="28"/>
  <c r="O99" i="28"/>
  <c r="N99" i="28"/>
  <c r="M99" i="28"/>
  <c r="L99" i="28"/>
  <c r="R98" i="28"/>
  <c r="Q98" i="28"/>
  <c r="P98" i="28"/>
  <c r="O98" i="28"/>
  <c r="N98" i="28"/>
  <c r="M98" i="28"/>
  <c r="L98" i="28"/>
  <c r="R97" i="28"/>
  <c r="Q97" i="28"/>
  <c r="P97" i="28"/>
  <c r="O97" i="28"/>
  <c r="N97" i="28"/>
  <c r="M97" i="28"/>
  <c r="L97" i="28"/>
  <c r="R96" i="28"/>
  <c r="Q96" i="28"/>
  <c r="P96" i="28"/>
  <c r="O96" i="28"/>
  <c r="N96" i="28"/>
  <c r="M96" i="28"/>
  <c r="L96" i="28"/>
  <c r="R95" i="28"/>
  <c r="Q95" i="28"/>
  <c r="P95" i="28"/>
  <c r="O95" i="28"/>
  <c r="N95" i="28"/>
  <c r="M95" i="28"/>
  <c r="L95" i="28"/>
  <c r="R94" i="28"/>
  <c r="Q94" i="28"/>
  <c r="P94" i="28"/>
  <c r="O94" i="28"/>
  <c r="N94" i="28"/>
  <c r="M94" i="28"/>
  <c r="L94" i="28"/>
  <c r="R93" i="28"/>
  <c r="Q93" i="28"/>
  <c r="P93" i="28"/>
  <c r="O93" i="28"/>
  <c r="N93" i="28"/>
  <c r="M93" i="28"/>
  <c r="L93" i="28"/>
  <c r="R92" i="28"/>
  <c r="Q92" i="28"/>
  <c r="P92" i="28"/>
  <c r="O92" i="28"/>
  <c r="N92" i="28"/>
  <c r="M92" i="28"/>
  <c r="L92" i="28"/>
  <c r="R91" i="28"/>
  <c r="Q91" i="28"/>
  <c r="P91" i="28"/>
  <c r="O91" i="28"/>
  <c r="N91" i="28"/>
  <c r="M91" i="28"/>
  <c r="L91" i="28"/>
  <c r="R90" i="28"/>
  <c r="Q90" i="28"/>
  <c r="P90" i="28"/>
  <c r="O90" i="28"/>
  <c r="N90" i="28"/>
  <c r="M90" i="28"/>
  <c r="L90" i="28"/>
  <c r="R89" i="28"/>
  <c r="Q89" i="28"/>
  <c r="P89" i="28"/>
  <c r="O89" i="28"/>
  <c r="N89" i="28"/>
  <c r="M89" i="28"/>
  <c r="L89" i="28"/>
  <c r="R88" i="28"/>
  <c r="Q88" i="28"/>
  <c r="P88" i="28"/>
  <c r="O88" i="28"/>
  <c r="N88" i="28"/>
  <c r="M88" i="28"/>
  <c r="L88" i="28"/>
  <c r="R87" i="28"/>
  <c r="Q87" i="28"/>
  <c r="P87" i="28"/>
  <c r="O87" i="28"/>
  <c r="N87" i="28"/>
  <c r="M87" i="28"/>
  <c r="L87" i="28"/>
  <c r="K99" i="28"/>
  <c r="K98" i="28"/>
  <c r="K96" i="28"/>
  <c r="K94" i="28"/>
  <c r="K93" i="28"/>
  <c r="K92" i="28"/>
  <c r="K91" i="28"/>
  <c r="K90" i="28"/>
  <c r="K89" i="28"/>
  <c r="K88" i="28"/>
  <c r="K100" i="28"/>
  <c r="K97" i="28"/>
  <c r="K95" i="28"/>
  <c r="K87" i="28"/>
  <c r="T86" i="28"/>
  <c r="S86" i="28"/>
  <c r="R86" i="28"/>
  <c r="Q86" i="28"/>
  <c r="P86" i="28"/>
  <c r="O86" i="28"/>
  <c r="N86" i="28"/>
  <c r="M86" i="28"/>
  <c r="T85" i="28"/>
  <c r="S85" i="28"/>
  <c r="R85" i="28"/>
  <c r="Q85" i="28"/>
  <c r="P85" i="28"/>
  <c r="O85" i="28"/>
  <c r="N85" i="28"/>
  <c r="M85" i="28"/>
  <c r="T84" i="28"/>
  <c r="S84" i="28"/>
  <c r="R84" i="28"/>
  <c r="Q84" i="28"/>
  <c r="P84" i="28"/>
  <c r="O84" i="28"/>
  <c r="N84" i="28"/>
  <c r="M84" i="28"/>
  <c r="T83" i="28"/>
  <c r="S83" i="28"/>
  <c r="R83" i="28"/>
  <c r="Q83" i="28"/>
  <c r="P83" i="28"/>
  <c r="O83" i="28"/>
  <c r="N83" i="28"/>
  <c r="M83" i="28"/>
  <c r="T82" i="28"/>
  <c r="S82" i="28"/>
  <c r="R82" i="28"/>
  <c r="Q82" i="28"/>
  <c r="P82" i="28"/>
  <c r="O82" i="28"/>
  <c r="N82" i="28"/>
  <c r="M82" i="28"/>
  <c r="T81" i="28"/>
  <c r="S81" i="28"/>
  <c r="R81" i="28"/>
  <c r="Q81" i="28"/>
  <c r="P81" i="28"/>
  <c r="O81" i="28"/>
  <c r="N81" i="28"/>
  <c r="M81" i="28"/>
  <c r="T80" i="28"/>
  <c r="S80" i="28"/>
  <c r="R80" i="28"/>
  <c r="Q80" i="28"/>
  <c r="P80" i="28"/>
  <c r="O80" i="28"/>
  <c r="N80" i="28"/>
  <c r="M80" i="28"/>
  <c r="T79" i="28"/>
  <c r="S79" i="28"/>
  <c r="R79" i="28"/>
  <c r="Q79" i="28"/>
  <c r="P79" i="28"/>
  <c r="O79" i="28"/>
  <c r="N79" i="28"/>
  <c r="M79" i="28"/>
  <c r="T78" i="28"/>
  <c r="S78" i="28"/>
  <c r="R78" i="28"/>
  <c r="Q78" i="28"/>
  <c r="P78" i="28"/>
  <c r="O78" i="28"/>
  <c r="N78" i="28"/>
  <c r="M78" i="28"/>
  <c r="T77" i="28"/>
  <c r="S77" i="28"/>
  <c r="R77" i="28"/>
  <c r="Q77" i="28"/>
  <c r="P77" i="28"/>
  <c r="O77" i="28"/>
  <c r="N77" i="28"/>
  <c r="M77" i="28"/>
  <c r="T76" i="28"/>
  <c r="S76" i="28"/>
  <c r="R76" i="28"/>
  <c r="Q76" i="28"/>
  <c r="P76" i="28"/>
  <c r="O76" i="28"/>
  <c r="N76" i="28"/>
  <c r="M76" i="28"/>
  <c r="T75" i="28"/>
  <c r="S75" i="28"/>
  <c r="R75" i="28"/>
  <c r="Q75" i="28"/>
  <c r="P75" i="28"/>
  <c r="O75" i="28"/>
  <c r="N75" i="28"/>
  <c r="M75" i="28"/>
  <c r="T74" i="28"/>
  <c r="S74" i="28"/>
  <c r="R74" i="28"/>
  <c r="Q74" i="28"/>
  <c r="P74" i="28"/>
  <c r="O74" i="28"/>
  <c r="N74" i="28"/>
  <c r="M74" i="28"/>
  <c r="T73" i="28"/>
  <c r="S73" i="28"/>
  <c r="R73" i="28"/>
  <c r="Q73" i="28"/>
  <c r="P73" i="28"/>
  <c r="O73" i="28"/>
  <c r="N73" i="28"/>
  <c r="M73" i="28"/>
  <c r="D62" i="28"/>
  <c r="E62" i="28" s="1"/>
  <c r="F62" i="28" s="1"/>
  <c r="G62" i="28" s="1"/>
  <c r="H62" i="28" s="1"/>
  <c r="I62" i="28" s="1"/>
  <c r="J62" i="28" s="1"/>
  <c r="K62" i="28" s="1"/>
  <c r="L62" i="28" s="1"/>
  <c r="K13" i="11" l="1"/>
  <c r="J13" i="11"/>
  <c r="I13" i="11"/>
  <c r="H13" i="11"/>
  <c r="L72" i="28" l="1"/>
  <c r="M72" i="28" s="1"/>
  <c r="N72" i="28" s="1"/>
  <c r="O72" i="28" s="1"/>
  <c r="P72" i="28" s="1"/>
  <c r="Q72" i="28" s="1"/>
  <c r="R72" i="28" s="1"/>
  <c r="S72" i="28" s="1"/>
  <c r="T72" i="28" s="1"/>
  <c r="K28" i="10" l="1"/>
  <c r="J28" i="10"/>
  <c r="I28" i="10"/>
  <c r="H28" i="10"/>
  <c r="G28" i="10"/>
  <c r="F28" i="10"/>
  <c r="E28" i="10"/>
  <c r="D28" i="10"/>
  <c r="K24" i="10"/>
  <c r="J24" i="10"/>
  <c r="I24" i="10"/>
  <c r="H24" i="10"/>
  <c r="G24" i="10"/>
  <c r="F24" i="10"/>
  <c r="E24" i="10"/>
  <c r="D24" i="10"/>
  <c r="K21" i="10"/>
  <c r="J21" i="10"/>
  <c r="I21" i="10"/>
  <c r="H21" i="10"/>
  <c r="G21" i="10"/>
  <c r="F21" i="10"/>
  <c r="E21" i="10"/>
  <c r="D21" i="10"/>
  <c r="D18" i="10"/>
  <c r="D29" i="10" l="1"/>
  <c r="E16" i="10" l="1"/>
  <c r="E18" i="10" s="1"/>
  <c r="E29" i="10" s="1"/>
  <c r="F16" i="10" l="1"/>
  <c r="F18" i="10" s="1"/>
  <c r="F29" i="10" s="1"/>
  <c r="G16" i="10" l="1"/>
  <c r="G18" i="10" s="1"/>
  <c r="G29" i="10" s="1"/>
  <c r="H16" i="10" l="1"/>
  <c r="H18" i="10" s="1"/>
  <c r="H29" i="10" s="1"/>
  <c r="I16" i="10" l="1"/>
  <c r="I18" i="10" s="1"/>
  <c r="I29" i="10" s="1"/>
  <c r="J16" i="10" l="1"/>
  <c r="J18" i="10" s="1"/>
  <c r="J29" i="10" s="1"/>
  <c r="K16" i="10" l="1"/>
  <c r="K18" i="10" s="1"/>
  <c r="K29" i="10" s="1"/>
  <c r="A65" i="5" l="1"/>
  <c r="A61" i="5"/>
  <c r="A57" i="5"/>
  <c r="A53" i="5"/>
  <c r="A49" i="5"/>
  <c r="A40" i="5"/>
  <c r="A41" i="5"/>
  <c r="A42" i="5"/>
  <c r="A43" i="5"/>
  <c r="A39" i="5"/>
  <c r="A85" i="5"/>
  <c r="A106" i="5" s="1"/>
  <c r="A88" i="5"/>
  <c r="A107" i="5" s="1"/>
  <c r="A91" i="5"/>
  <c r="A108" i="5" s="1"/>
  <c r="A94" i="5"/>
  <c r="A109" i="5" s="1"/>
  <c r="A82" i="5"/>
  <c r="A105" i="5" s="1"/>
  <c r="E19" i="19" l="1"/>
  <c r="F19" i="19"/>
  <c r="G19" i="19"/>
  <c r="H19" i="19"/>
  <c r="I19" i="19"/>
  <c r="J19" i="19"/>
  <c r="K19" i="19"/>
  <c r="D19" i="19"/>
  <c r="B86" i="2" l="1"/>
  <c r="E42" i="28"/>
  <c r="E38" i="28"/>
  <c r="F38" i="28" s="1"/>
  <c r="G38" i="28" s="1"/>
  <c r="H38" i="28" s="1"/>
  <c r="I38" i="28" s="1"/>
  <c r="J38" i="28" s="1"/>
  <c r="D30" i="28"/>
  <c r="D29" i="28"/>
  <c r="D28" i="28"/>
  <c r="D27" i="28"/>
  <c r="D26" i="28"/>
  <c r="D25" i="28"/>
  <c r="D24" i="28"/>
  <c r="D23" i="28"/>
  <c r="D22" i="28"/>
  <c r="D21" i="28"/>
  <c r="D20" i="28"/>
  <c r="D19" i="28"/>
  <c r="D18" i="28"/>
  <c r="D17" i="28"/>
  <c r="D16" i="28"/>
  <c r="D15" i="28"/>
  <c r="D14" i="28"/>
  <c r="B45" i="28"/>
  <c r="C48" i="28"/>
  <c r="D50" i="28"/>
  <c r="E50" i="28" s="1"/>
  <c r="F50" i="28" s="1"/>
  <c r="G50" i="28" s="1"/>
  <c r="H50" i="28" s="1"/>
  <c r="I50" i="28" s="1"/>
  <c r="J50" i="28" s="1"/>
  <c r="C51" i="28"/>
  <c r="D51" i="28"/>
  <c r="E51" i="28"/>
  <c r="F51" i="28"/>
  <c r="G51" i="28"/>
  <c r="H51" i="28"/>
  <c r="I51" i="28"/>
  <c r="J51"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F42" i="28" l="1"/>
  <c r="G42" i="28" s="1"/>
  <c r="H42" i="28" s="1"/>
  <c r="I42" i="28" s="1"/>
  <c r="J42" i="28" s="1"/>
  <c r="F24" i="28" l="1"/>
  <c r="F25" i="28" s="1"/>
  <c r="F26" i="28" s="1"/>
  <c r="F27" i="28" s="1"/>
  <c r="E24" i="28"/>
  <c r="E25" i="28" s="1"/>
  <c r="E26" i="28" s="1"/>
  <c r="E27" i="28" s="1"/>
  <c r="H8" i="27"/>
  <c r="G8" i="27"/>
  <c r="F8" i="27"/>
  <c r="E8" i="27"/>
  <c r="F23" i="27" l="1"/>
  <c r="F42" i="27" s="1"/>
  <c r="E23" i="27"/>
  <c r="E42" i="27" s="1"/>
  <c r="D23" i="27"/>
  <c r="D42" i="27" s="1"/>
  <c r="H100" i="28" l="1"/>
  <c r="H99" i="28"/>
  <c r="H98" i="28"/>
  <c r="A3" i="29" l="1"/>
  <c r="A2" i="29"/>
  <c r="K78" i="15" l="1"/>
  <c r="J78" i="15"/>
  <c r="I78" i="15"/>
  <c r="H78" i="15"/>
  <c r="F78" i="15"/>
  <c r="E78" i="15"/>
  <c r="K28" i="4" l="1"/>
  <c r="J28" i="4"/>
  <c r="I28" i="4"/>
  <c r="H28" i="4"/>
  <c r="B129" i="2" l="1"/>
  <c r="B130" i="2"/>
  <c r="B131" i="2"/>
  <c r="B132" i="2"/>
  <c r="B133" i="2"/>
  <c r="B128" i="2"/>
  <c r="B101" i="2"/>
  <c r="B102" i="2"/>
  <c r="B103" i="2"/>
  <c r="B104" i="2"/>
  <c r="B105" i="2"/>
  <c r="B100" i="2"/>
  <c r="D42" i="2"/>
  <c r="M40" i="2"/>
  <c r="H42" i="2"/>
  <c r="E42" i="2"/>
  <c r="M41" i="2"/>
  <c r="I42" i="2"/>
  <c r="J42" i="2"/>
  <c r="G42" i="2"/>
  <c r="K42" i="2"/>
  <c r="D44" i="2"/>
  <c r="E44" i="2"/>
  <c r="F44" i="2"/>
  <c r="G44" i="2"/>
  <c r="H44" i="2"/>
  <c r="I44" i="2"/>
  <c r="J44" i="2"/>
  <c r="J58" i="2" s="1"/>
  <c r="K44" i="2"/>
  <c r="M50" i="2"/>
  <c r="M51" i="2"/>
  <c r="M52" i="2"/>
  <c r="M53" i="2"/>
  <c r="M54" i="2"/>
  <c r="M55" i="2"/>
  <c r="D56" i="2"/>
  <c r="E56" i="2"/>
  <c r="F56" i="2"/>
  <c r="G56" i="2"/>
  <c r="H56" i="2"/>
  <c r="I56" i="2"/>
  <c r="J56" i="2"/>
  <c r="K56" i="2"/>
  <c r="D122" i="2"/>
  <c r="E122" i="2"/>
  <c r="F122" i="2"/>
  <c r="G122" i="2"/>
  <c r="H122" i="2"/>
  <c r="I122" i="2"/>
  <c r="J122" i="2"/>
  <c r="K122" i="2"/>
  <c r="J59" i="2" l="1"/>
  <c r="I58" i="2"/>
  <c r="I59" i="2"/>
  <c r="E59" i="2"/>
  <c r="M56" i="2"/>
  <c r="F58" i="2"/>
  <c r="G47" i="2"/>
  <c r="K59" i="2"/>
  <c r="G59" i="2"/>
  <c r="F59" i="2"/>
  <c r="E58" i="2"/>
  <c r="H59" i="2"/>
  <c r="K47" i="2"/>
  <c r="I46" i="2"/>
  <c r="I47" i="2"/>
  <c r="E46" i="2"/>
  <c r="E47" i="2"/>
  <c r="H46" i="2"/>
  <c r="H47" i="2"/>
  <c r="D46" i="2"/>
  <c r="D47" i="2"/>
  <c r="J47" i="2"/>
  <c r="J46" i="2"/>
  <c r="J62" i="2" s="1"/>
  <c r="M42" i="2"/>
  <c r="H58" i="2"/>
  <c r="D58" i="2"/>
  <c r="K46" i="2"/>
  <c r="G46" i="2"/>
  <c r="F42" i="2"/>
  <c r="D59" i="2"/>
  <c r="K58" i="2"/>
  <c r="G58" i="2"/>
  <c r="J63" i="2" l="1"/>
  <c r="J64" i="2" s="1"/>
  <c r="I62" i="2"/>
  <c r="E63" i="2"/>
  <c r="H63" i="2"/>
  <c r="I63" i="2"/>
  <c r="K63" i="2"/>
  <c r="G63" i="2"/>
  <c r="E62" i="2"/>
  <c r="M59" i="2"/>
  <c r="G62" i="2"/>
  <c r="D63" i="2"/>
  <c r="K62" i="2"/>
  <c r="D62" i="2"/>
  <c r="M58" i="2"/>
  <c r="F47" i="2"/>
  <c r="F63" i="2" s="1"/>
  <c r="F46" i="2"/>
  <c r="F62" i="2" s="1"/>
  <c r="H62" i="2"/>
  <c r="I64" i="2" l="1"/>
  <c r="E64" i="2"/>
  <c r="H64" i="2"/>
  <c r="K64" i="2"/>
  <c r="G64" i="2"/>
  <c r="M46" i="2"/>
  <c r="M63" i="2"/>
  <c r="F64" i="2"/>
  <c r="M62" i="2"/>
  <c r="D64" i="2"/>
  <c r="M47" i="2"/>
  <c r="M64" i="2" l="1"/>
  <c r="K94" i="2" l="1"/>
  <c r="J94" i="2"/>
  <c r="I94" i="2"/>
  <c r="H94" i="2"/>
  <c r="G94" i="2"/>
  <c r="F94" i="2"/>
  <c r="E94" i="2"/>
  <c r="D94" i="2"/>
  <c r="D105" i="28" l="1"/>
  <c r="E105" i="28" s="1"/>
  <c r="F105" i="28" s="1"/>
  <c r="G105" i="28" s="1"/>
  <c r="H105" i="28" s="1"/>
  <c r="I105" i="28" s="1"/>
  <c r="J105" i="28" s="1"/>
  <c r="A3" i="28"/>
  <c r="A2" i="28"/>
  <c r="L6" i="17" l="1"/>
  <c r="K52" i="27" l="1"/>
  <c r="J52" i="27"/>
  <c r="I52" i="27"/>
  <c r="H52" i="27"/>
  <c r="G52" i="27"/>
  <c r="F52" i="27"/>
  <c r="E52" i="27"/>
  <c r="D52" i="27"/>
  <c r="A3" i="27" l="1"/>
  <c r="A2" i="27"/>
  <c r="M6" i="1" l="1"/>
  <c r="M27" i="2" l="1"/>
  <c r="M26" i="2"/>
  <c r="M25" i="2"/>
  <c r="M24" i="2"/>
  <c r="M23" i="2"/>
  <c r="M22" i="2"/>
  <c r="K64" i="4" l="1"/>
  <c r="J64" i="4"/>
  <c r="I64" i="4"/>
  <c r="H64" i="4"/>
  <c r="F64" i="4"/>
  <c r="E64" i="4"/>
  <c r="D64" i="4"/>
  <c r="K16" i="2" l="1"/>
  <c r="J16" i="2"/>
  <c r="I16" i="2"/>
  <c r="H16" i="2"/>
  <c r="G16" i="2"/>
  <c r="F16" i="2"/>
  <c r="E16" i="2"/>
  <c r="D16" i="2"/>
  <c r="C13" i="13" l="1"/>
  <c r="C33" i="28" l="1"/>
  <c r="C36" i="28" s="1"/>
  <c r="D6" i="29"/>
  <c r="D22" i="29" s="1"/>
  <c r="D6" i="5"/>
  <c r="D6" i="20"/>
  <c r="D6" i="19"/>
  <c r="D6" i="27"/>
  <c r="D6" i="17"/>
  <c r="D6" i="11"/>
  <c r="D5" i="11" s="1"/>
  <c r="D6" i="1"/>
  <c r="D6" i="10"/>
  <c r="D40" i="10" l="1"/>
  <c r="D99" i="5"/>
  <c r="D96" i="5"/>
  <c r="D74" i="5"/>
  <c r="D75" i="5" s="1"/>
  <c r="D45" i="5" s="1"/>
  <c r="D70" i="5"/>
  <c r="D71" i="5" s="1"/>
  <c r="D44" i="5" s="1"/>
  <c r="D5" i="20"/>
  <c r="D93" i="5"/>
  <c r="D90" i="5"/>
  <c r="D87" i="5"/>
  <c r="D84" i="5"/>
  <c r="D81" i="5"/>
  <c r="C32" i="28"/>
  <c r="E6" i="29"/>
  <c r="E22" i="29" s="1"/>
  <c r="D33" i="28"/>
  <c r="D36" i="28" s="1"/>
  <c r="D5" i="29"/>
  <c r="D54" i="5"/>
  <c r="D58" i="5"/>
  <c r="D62" i="5"/>
  <c r="D50" i="5"/>
  <c r="D66" i="5"/>
  <c r="D5" i="10"/>
  <c r="D32" i="10" s="1"/>
  <c r="E6" i="10"/>
  <c r="E40" i="10" s="1"/>
  <c r="E6" i="11"/>
  <c r="E5" i="11" s="1"/>
  <c r="E6" i="19"/>
  <c r="D5" i="19"/>
  <c r="E6" i="17"/>
  <c r="D5" i="17"/>
  <c r="E6" i="20"/>
  <c r="E6" i="1"/>
  <c r="D5" i="1"/>
  <c r="D5" i="27"/>
  <c r="E6" i="27"/>
  <c r="L6" i="5"/>
  <c r="L6" i="2"/>
  <c r="K17" i="4"/>
  <c r="J17" i="4"/>
  <c r="I17" i="4"/>
  <c r="H17" i="4"/>
  <c r="G17" i="4"/>
  <c r="D6" i="3"/>
  <c r="E6" i="3" s="1"/>
  <c r="D6" i="15"/>
  <c r="D5" i="15" s="1"/>
  <c r="D6" i="4"/>
  <c r="E6" i="4" s="1"/>
  <c r="E5" i="4" s="1"/>
  <c r="E33" i="28" l="1"/>
  <c r="E36" i="28" s="1"/>
  <c r="E5" i="29"/>
  <c r="F6" i="29"/>
  <c r="F22" i="29" s="1"/>
  <c r="D28" i="17"/>
  <c r="D30" i="17" s="1"/>
  <c r="D32" i="28"/>
  <c r="F6" i="27"/>
  <c r="E5" i="27"/>
  <c r="E5" i="1"/>
  <c r="F6" i="1"/>
  <c r="E5" i="20"/>
  <c r="F6" i="20"/>
  <c r="E5" i="10"/>
  <c r="E32" i="10" s="1"/>
  <c r="F6" i="10"/>
  <c r="F40" i="10" s="1"/>
  <c r="F6" i="17"/>
  <c r="E5" i="17"/>
  <c r="E5" i="19"/>
  <c r="F6" i="19"/>
  <c r="F6" i="11"/>
  <c r="F5" i="11" s="1"/>
  <c r="E6" i="5"/>
  <c r="D5" i="4"/>
  <c r="F6" i="3"/>
  <c r="E5" i="3"/>
  <c r="D5" i="3"/>
  <c r="D5" i="5"/>
  <c r="E6" i="15"/>
  <c r="E5" i="15" s="1"/>
  <c r="F6" i="4"/>
  <c r="D33" i="17" l="1"/>
  <c r="E99" i="5"/>
  <c r="E96" i="5"/>
  <c r="E74" i="5"/>
  <c r="E75" i="5" s="1"/>
  <c r="E45" i="5" s="1"/>
  <c r="E70" i="5"/>
  <c r="E71" i="5" s="1"/>
  <c r="E44" i="5" s="1"/>
  <c r="E93" i="5"/>
  <c r="E90" i="5"/>
  <c r="E87" i="5"/>
  <c r="E84" i="5"/>
  <c r="E81" i="5"/>
  <c r="F33" i="28"/>
  <c r="F36" i="28" s="1"/>
  <c r="E32" i="28"/>
  <c r="F5" i="29"/>
  <c r="G6" i="29"/>
  <c r="D44" i="27"/>
  <c r="D48" i="27" s="1"/>
  <c r="D54" i="27" s="1"/>
  <c r="E28" i="17"/>
  <c r="E30" i="17" s="1"/>
  <c r="E5" i="5"/>
  <c r="E66" i="5"/>
  <c r="E67" i="5" s="1"/>
  <c r="E62" i="5"/>
  <c r="E63" i="5" s="1"/>
  <c r="E58" i="5"/>
  <c r="E59" i="5" s="1"/>
  <c r="E54" i="5"/>
  <c r="E55" i="5" s="1"/>
  <c r="E50" i="5"/>
  <c r="E51" i="5" s="1"/>
  <c r="F5" i="10"/>
  <c r="F32" i="10" s="1"/>
  <c r="G6" i="10"/>
  <c r="G40" i="10" s="1"/>
  <c r="F5" i="1"/>
  <c r="G6" i="1"/>
  <c r="G6" i="11"/>
  <c r="G5" i="11" s="1"/>
  <c r="G6" i="17"/>
  <c r="F5" i="17"/>
  <c r="F5" i="19"/>
  <c r="G6" i="19"/>
  <c r="G6" i="20"/>
  <c r="F5" i="20"/>
  <c r="G6" i="27"/>
  <c r="F5" i="27"/>
  <c r="F6" i="5"/>
  <c r="F5" i="3"/>
  <c r="G6" i="3"/>
  <c r="F6" i="15"/>
  <c r="F5" i="15" s="1"/>
  <c r="F5" i="4"/>
  <c r="G6" i="4"/>
  <c r="G5" i="4" s="1"/>
  <c r="E33" i="17" l="1"/>
  <c r="D37" i="17"/>
  <c r="D39" i="17" s="1"/>
  <c r="D64" i="17" s="1"/>
  <c r="F99" i="5"/>
  <c r="F96" i="5"/>
  <c r="F70" i="5"/>
  <c r="F71" i="5" s="1"/>
  <c r="F44" i="5" s="1"/>
  <c r="F74" i="5"/>
  <c r="F75" i="5" s="1"/>
  <c r="F45" i="5" s="1"/>
  <c r="G33" i="28"/>
  <c r="G36" i="28" s="1"/>
  <c r="E47" i="27"/>
  <c r="F93" i="5"/>
  <c r="F90" i="5"/>
  <c r="F87" i="5"/>
  <c r="F84" i="5"/>
  <c r="F81" i="5"/>
  <c r="F32" i="28"/>
  <c r="G5" i="29"/>
  <c r="H6" i="29"/>
  <c r="E44" i="27"/>
  <c r="E48" i="27" s="1"/>
  <c r="F47" i="27" s="1"/>
  <c r="F28" i="17"/>
  <c r="F30" i="17" s="1"/>
  <c r="F50" i="5"/>
  <c r="F51" i="5" s="1"/>
  <c r="F66" i="5"/>
  <c r="F67" i="5" s="1"/>
  <c r="F62" i="5"/>
  <c r="F63" i="5" s="1"/>
  <c r="F58" i="5"/>
  <c r="F59" i="5" s="1"/>
  <c r="F54" i="5"/>
  <c r="F55" i="5" s="1"/>
  <c r="G5" i="20"/>
  <c r="H6" i="20"/>
  <c r="G5" i="1"/>
  <c r="H6" i="1"/>
  <c r="H6" i="27"/>
  <c r="G5" i="27"/>
  <c r="G5" i="19"/>
  <c r="H6" i="19"/>
  <c r="H6" i="17"/>
  <c r="G5" i="17"/>
  <c r="G5" i="10"/>
  <c r="G32" i="10" s="1"/>
  <c r="H6" i="10"/>
  <c r="H40" i="10" s="1"/>
  <c r="H6" i="11"/>
  <c r="H5" i="11" s="1"/>
  <c r="G6" i="5"/>
  <c r="F5" i="5"/>
  <c r="H6" i="3"/>
  <c r="G5" i="3"/>
  <c r="G6" i="15"/>
  <c r="G5" i="15" s="1"/>
  <c r="H6" i="4"/>
  <c r="F33" i="17" l="1"/>
  <c r="H33" i="28"/>
  <c r="H36" i="28" s="1"/>
  <c r="G99" i="5"/>
  <c r="G96" i="5"/>
  <c r="G70" i="5"/>
  <c r="G71" i="5" s="1"/>
  <c r="G44" i="5" s="1"/>
  <c r="G74" i="5"/>
  <c r="G75" i="5" s="1"/>
  <c r="G45" i="5" s="1"/>
  <c r="G32" i="28"/>
  <c r="E54" i="27"/>
  <c r="G93" i="5"/>
  <c r="G90" i="5"/>
  <c r="G87" i="5"/>
  <c r="G84" i="5"/>
  <c r="G81" i="5"/>
  <c r="I6" i="29"/>
  <c r="H5" i="29"/>
  <c r="F44" i="27"/>
  <c r="F48" i="27" s="1"/>
  <c r="G47" i="27" s="1"/>
  <c r="G28" i="17"/>
  <c r="G30" i="17" s="1"/>
  <c r="G50" i="5"/>
  <c r="G51" i="5" s="1"/>
  <c r="G39" i="5" s="1"/>
  <c r="G66" i="5"/>
  <c r="G67" i="5" s="1"/>
  <c r="G43" i="5" s="1"/>
  <c r="G62" i="5"/>
  <c r="G63" i="5" s="1"/>
  <c r="G42" i="5" s="1"/>
  <c r="G58" i="5"/>
  <c r="G59" i="5" s="1"/>
  <c r="G41" i="5" s="1"/>
  <c r="G54" i="5"/>
  <c r="G55" i="5" s="1"/>
  <c r="G40" i="5" s="1"/>
  <c r="I6" i="11"/>
  <c r="I5" i="11" s="1"/>
  <c r="H5" i="20"/>
  <c r="I6" i="20"/>
  <c r="H5" i="10"/>
  <c r="H32" i="10" s="1"/>
  <c r="I6" i="10"/>
  <c r="I40" i="10" s="1"/>
  <c r="I6" i="17"/>
  <c r="H5" i="17"/>
  <c r="I6" i="1"/>
  <c r="H5" i="1"/>
  <c r="H5" i="19"/>
  <c r="I6" i="19"/>
  <c r="H5" i="27"/>
  <c r="I6" i="27"/>
  <c r="H5" i="4"/>
  <c r="G5" i="5"/>
  <c r="H6" i="5"/>
  <c r="I6" i="3"/>
  <c r="H5" i="3"/>
  <c r="H6" i="15"/>
  <c r="H5" i="15" s="1"/>
  <c r="I6" i="4"/>
  <c r="I5" i="4" s="1"/>
  <c r="G33" i="17" l="1"/>
  <c r="L54" i="17"/>
  <c r="H32" i="28"/>
  <c r="I33" i="28"/>
  <c r="I36" i="28" s="1"/>
  <c r="E37" i="17"/>
  <c r="E39" i="17" s="1"/>
  <c r="E64" i="17" s="1"/>
  <c r="H99" i="5"/>
  <c r="H96" i="5"/>
  <c r="G46" i="5"/>
  <c r="H74" i="5"/>
  <c r="H75" i="5" s="1"/>
  <c r="H70" i="5"/>
  <c r="H71" i="5" s="1"/>
  <c r="F54" i="27"/>
  <c r="H50" i="15"/>
  <c r="H93" i="5"/>
  <c r="H90" i="5"/>
  <c r="H87" i="5"/>
  <c r="H84" i="5"/>
  <c r="H81" i="5"/>
  <c r="J6" i="29"/>
  <c r="I5" i="29"/>
  <c r="G53" i="1"/>
  <c r="G54" i="1"/>
  <c r="G55" i="1"/>
  <c r="G52" i="1"/>
  <c r="G51" i="1"/>
  <c r="H50" i="5"/>
  <c r="H51" i="5" s="1"/>
  <c r="H39" i="5" s="1"/>
  <c r="H66" i="5"/>
  <c r="H67" i="5" s="1"/>
  <c r="H43" i="5" s="1"/>
  <c r="H62" i="5"/>
  <c r="H63" i="5" s="1"/>
  <c r="H42" i="5" s="1"/>
  <c r="H58" i="5"/>
  <c r="H59" i="5" s="1"/>
  <c r="H41" i="5" s="1"/>
  <c r="H54" i="5"/>
  <c r="H55" i="5" s="1"/>
  <c r="H40" i="5" s="1"/>
  <c r="J6" i="1"/>
  <c r="I5" i="1"/>
  <c r="J6" i="19"/>
  <c r="I5" i="19"/>
  <c r="I5" i="10"/>
  <c r="I32" i="10" s="1"/>
  <c r="J6" i="10"/>
  <c r="J40" i="10" s="1"/>
  <c r="J6" i="11"/>
  <c r="J5" i="11" s="1"/>
  <c r="J6" i="27"/>
  <c r="I5" i="27"/>
  <c r="J6" i="17"/>
  <c r="I5" i="17"/>
  <c r="J6" i="20"/>
  <c r="I5" i="20"/>
  <c r="H5" i="5"/>
  <c r="I6" i="5"/>
  <c r="L73" i="5" s="1"/>
  <c r="J6" i="3"/>
  <c r="I5" i="3"/>
  <c r="I6" i="15"/>
  <c r="I5" i="15" s="1"/>
  <c r="J6" i="4"/>
  <c r="I32" i="28" l="1"/>
  <c r="J33" i="28"/>
  <c r="J36" i="28" s="1"/>
  <c r="F37" i="17"/>
  <c r="F39" i="17" s="1"/>
  <c r="F64" i="17" s="1"/>
  <c r="J5" i="29"/>
  <c r="L69" i="5"/>
  <c r="L17" i="5"/>
  <c r="H45" i="5"/>
  <c r="H44" i="5"/>
  <c r="I99" i="5"/>
  <c r="I96" i="5"/>
  <c r="I70" i="5"/>
  <c r="I71" i="5" s="1"/>
  <c r="I44" i="5" s="1"/>
  <c r="I74" i="5"/>
  <c r="I75" i="5" s="1"/>
  <c r="I45" i="5" s="1"/>
  <c r="I87" i="5"/>
  <c r="I84" i="5"/>
  <c r="I81" i="5"/>
  <c r="I93" i="5"/>
  <c r="I90" i="5"/>
  <c r="I50" i="15"/>
  <c r="K6" i="29"/>
  <c r="J32" i="28"/>
  <c r="H55" i="1"/>
  <c r="H52" i="1"/>
  <c r="H51" i="1"/>
  <c r="H53" i="1"/>
  <c r="H54" i="1"/>
  <c r="I66" i="5"/>
  <c r="I67" i="5" s="1"/>
  <c r="I43" i="5" s="1"/>
  <c r="I62" i="5"/>
  <c r="I63" i="5" s="1"/>
  <c r="I42" i="5" s="1"/>
  <c r="I58" i="5"/>
  <c r="I59" i="5" s="1"/>
  <c r="I41" i="5" s="1"/>
  <c r="I54" i="5"/>
  <c r="I55" i="5" s="1"/>
  <c r="I40" i="5" s="1"/>
  <c r="I50" i="5"/>
  <c r="I51" i="5" s="1"/>
  <c r="I39" i="5" s="1"/>
  <c r="K6" i="20"/>
  <c r="J5" i="20"/>
  <c r="K6" i="27"/>
  <c r="J5" i="27"/>
  <c r="K6" i="19"/>
  <c r="K5" i="19" s="1"/>
  <c r="J5" i="19"/>
  <c r="J5" i="10"/>
  <c r="J32" i="10" s="1"/>
  <c r="K6" i="10"/>
  <c r="K40" i="10" s="1"/>
  <c r="K6" i="17"/>
  <c r="J5" i="17"/>
  <c r="K6" i="11"/>
  <c r="K5" i="11" s="1"/>
  <c r="K6" i="1"/>
  <c r="J5" i="1"/>
  <c r="J6" i="5"/>
  <c r="J5" i="4"/>
  <c r="I5" i="5"/>
  <c r="J5" i="3"/>
  <c r="K6" i="3"/>
  <c r="J6" i="15"/>
  <c r="J5" i="15" s="1"/>
  <c r="J82" i="15" s="1"/>
  <c r="K6" i="4"/>
  <c r="K5" i="4" s="1"/>
  <c r="K5" i="1" l="1"/>
  <c r="L45" i="5"/>
  <c r="H46" i="5"/>
  <c r="L44" i="5"/>
  <c r="L71" i="5"/>
  <c r="L75" i="5"/>
  <c r="J99" i="5"/>
  <c r="J96" i="5"/>
  <c r="I46" i="5"/>
  <c r="J70" i="5"/>
  <c r="J71" i="5" s="1"/>
  <c r="J44" i="5" s="1"/>
  <c r="J74" i="5"/>
  <c r="J75" i="5" s="1"/>
  <c r="J45" i="5" s="1"/>
  <c r="J50" i="15"/>
  <c r="J90" i="5"/>
  <c r="J87" i="5"/>
  <c r="J84" i="5"/>
  <c r="J81" i="5"/>
  <c r="J93" i="5"/>
  <c r="K5" i="29"/>
  <c r="K5" i="27"/>
  <c r="K5" i="17"/>
  <c r="K5" i="20"/>
  <c r="I51" i="1"/>
  <c r="I52" i="1"/>
  <c r="I55" i="1"/>
  <c r="I53" i="1"/>
  <c r="I54" i="1"/>
  <c r="K5" i="10"/>
  <c r="K32" i="10" s="1"/>
  <c r="J5" i="5"/>
  <c r="J66" i="5"/>
  <c r="J67" i="5" s="1"/>
  <c r="J43" i="5" s="1"/>
  <c r="J62" i="5"/>
  <c r="J63" i="5" s="1"/>
  <c r="J42" i="5" s="1"/>
  <c r="J58" i="5"/>
  <c r="J59" i="5" s="1"/>
  <c r="J41" i="5" s="1"/>
  <c r="J54" i="5"/>
  <c r="J55" i="5" s="1"/>
  <c r="J40" i="5" s="1"/>
  <c r="J50" i="5"/>
  <c r="J51" i="5" s="1"/>
  <c r="J39" i="5" s="1"/>
  <c r="K6" i="5"/>
  <c r="K5" i="3"/>
  <c r="K6" i="15"/>
  <c r="K5" i="15" s="1"/>
  <c r="K82" i="15" s="1"/>
  <c r="J46" i="5" l="1"/>
  <c r="K74" i="5"/>
  <c r="K75" i="5" s="1"/>
  <c r="K99" i="5"/>
  <c r="K96" i="5"/>
  <c r="L16" i="5"/>
  <c r="K70" i="5"/>
  <c r="K71" i="5" s="1"/>
  <c r="K93" i="5"/>
  <c r="K90" i="5"/>
  <c r="K87" i="5"/>
  <c r="K84" i="5"/>
  <c r="K81" i="5"/>
  <c r="K50" i="15"/>
  <c r="J55" i="1"/>
  <c r="J52" i="1"/>
  <c r="J51" i="1"/>
  <c r="J53" i="1"/>
  <c r="J54" i="1"/>
  <c r="K50" i="5"/>
  <c r="K51" i="5" s="1"/>
  <c r="K39" i="5" s="1"/>
  <c r="K66" i="5"/>
  <c r="K67" i="5" s="1"/>
  <c r="K43" i="5" s="1"/>
  <c r="K62" i="5"/>
  <c r="K63" i="5" s="1"/>
  <c r="K42" i="5" s="1"/>
  <c r="K58" i="5"/>
  <c r="K59" i="5" s="1"/>
  <c r="K41" i="5" s="1"/>
  <c r="K54" i="5"/>
  <c r="K55" i="5" s="1"/>
  <c r="K40" i="5" s="1"/>
  <c r="K5" i="5"/>
  <c r="M71" i="5" l="1"/>
  <c r="K44" i="5"/>
  <c r="M44" i="5" s="1"/>
  <c r="M75" i="5"/>
  <c r="K45" i="5"/>
  <c r="M45" i="5" s="1"/>
  <c r="K51" i="1"/>
  <c r="K53" i="1"/>
  <c r="K54" i="1"/>
  <c r="K55" i="1"/>
  <c r="K52" i="1"/>
  <c r="K46" i="5" l="1"/>
  <c r="C6" i="13" l="1"/>
  <c r="D36" i="10" s="1"/>
  <c r="C14" i="13"/>
  <c r="C90" i="29" s="1"/>
  <c r="C89" i="29" l="1"/>
  <c r="C87" i="29"/>
  <c r="C31" i="10"/>
  <c r="C69" i="17"/>
  <c r="C55" i="17"/>
  <c r="C45" i="5"/>
  <c r="C44" i="5"/>
  <c r="C69" i="5"/>
  <c r="C73" i="5"/>
  <c r="C35" i="28"/>
  <c r="D34" i="10" s="1"/>
  <c r="D38" i="10" s="1"/>
  <c r="D35" i="28"/>
  <c r="E34" i="10" s="1"/>
  <c r="E38" i="10" s="1"/>
  <c r="E35" i="28"/>
  <c r="F34" i="10" s="1"/>
  <c r="F38" i="10" s="1"/>
  <c r="F35" i="28"/>
  <c r="G34" i="10" s="1"/>
  <c r="G38" i="10" s="1"/>
  <c r="G35" i="28"/>
  <c r="H34" i="10" s="1"/>
  <c r="H38" i="10" s="1"/>
  <c r="I35" i="28"/>
  <c r="J34" i="10" s="1"/>
  <c r="J38" i="10" s="1"/>
  <c r="H35" i="28"/>
  <c r="I34" i="10" s="1"/>
  <c r="I38" i="10" s="1"/>
  <c r="J35" i="28"/>
  <c r="K34" i="10" s="1"/>
  <c r="K38" i="10" s="1"/>
  <c r="C8" i="20"/>
  <c r="C16" i="5"/>
  <c r="C17" i="5"/>
  <c r="C61" i="1"/>
  <c r="C82" i="29"/>
  <c r="C62" i="1"/>
  <c r="C59" i="1"/>
  <c r="C63" i="1"/>
  <c r="C54" i="29"/>
  <c r="C60" i="1"/>
  <c r="C80" i="29"/>
  <c r="C89" i="17"/>
  <c r="C68" i="17"/>
  <c r="C87" i="17"/>
  <c r="E153" i="28"/>
  <c r="E157" i="28"/>
  <c r="E154" i="28"/>
  <c r="E158" i="28"/>
  <c r="E155" i="28"/>
  <c r="E159" i="28"/>
  <c r="E156" i="28"/>
  <c r="E152" i="28"/>
  <c r="C43" i="17"/>
  <c r="C79" i="2"/>
  <c r="B46" i="1"/>
  <c r="C28" i="3"/>
  <c r="C63" i="29"/>
  <c r="C68" i="29"/>
  <c r="C73" i="29"/>
  <c r="C62" i="29"/>
  <c r="C67" i="29"/>
  <c r="C72" i="29"/>
  <c r="C69" i="29"/>
  <c r="C74" i="29"/>
  <c r="C34" i="28"/>
  <c r="D34" i="28"/>
  <c r="E34" i="28"/>
  <c r="G34" i="28"/>
  <c r="F34" i="28"/>
  <c r="H34" i="28"/>
  <c r="I34" i="28"/>
  <c r="J34" i="28"/>
  <c r="B149" i="28"/>
  <c r="C75" i="29"/>
  <c r="C49" i="10"/>
  <c r="C51" i="10"/>
  <c r="C45" i="10"/>
  <c r="C29" i="10"/>
  <c r="C25" i="10"/>
  <c r="C21" i="10"/>
  <c r="C17" i="10"/>
  <c r="C28" i="10"/>
  <c r="C24" i="10"/>
  <c r="C20" i="10"/>
  <c r="C16" i="10"/>
  <c r="C27" i="10"/>
  <c r="C23" i="10"/>
  <c r="C19" i="10"/>
  <c r="C11" i="10"/>
  <c r="C26" i="10"/>
  <c r="C22" i="10"/>
  <c r="C18" i="10"/>
  <c r="C79" i="17"/>
  <c r="C19" i="19"/>
  <c r="C18" i="19"/>
  <c r="C14" i="19"/>
  <c r="B51" i="28"/>
  <c r="B38" i="2" s="1"/>
  <c r="B116" i="2" s="1"/>
  <c r="B48" i="28"/>
  <c r="C66" i="1"/>
  <c r="C51" i="1"/>
  <c r="C55" i="1"/>
  <c r="C54" i="1"/>
  <c r="C65" i="1"/>
  <c r="C52" i="1"/>
  <c r="C56" i="1"/>
  <c r="C58" i="1"/>
  <c r="C49" i="1"/>
  <c r="C53" i="1"/>
  <c r="C57" i="1"/>
  <c r="C50" i="1"/>
  <c r="C48" i="1"/>
  <c r="C84" i="29"/>
  <c r="C42" i="29"/>
  <c r="C61" i="29"/>
  <c r="C62" i="27"/>
  <c r="C63" i="27"/>
  <c r="C61" i="27"/>
  <c r="C40" i="2"/>
  <c r="C58" i="2"/>
  <c r="C62" i="2"/>
  <c r="C70" i="2"/>
  <c r="C41" i="2"/>
  <c r="C46" i="2"/>
  <c r="C51" i="2"/>
  <c r="C53" i="2"/>
  <c r="C55" i="2"/>
  <c r="C59" i="2"/>
  <c r="C63" i="2"/>
  <c r="C71" i="2"/>
  <c r="C42" i="2"/>
  <c r="C47" i="2"/>
  <c r="C64" i="2"/>
  <c r="C50" i="2"/>
  <c r="C52" i="2"/>
  <c r="C54" i="2"/>
  <c r="C56" i="2"/>
  <c r="C69" i="2"/>
  <c r="C17" i="19"/>
  <c r="C85" i="17"/>
  <c r="C78" i="17"/>
  <c r="C50" i="10"/>
  <c r="C46" i="10"/>
  <c r="C47" i="10"/>
  <c r="C77" i="2"/>
  <c r="C36" i="2"/>
  <c r="C65" i="5"/>
  <c r="C61" i="5"/>
  <c r="C57" i="5"/>
  <c r="C53" i="5"/>
  <c r="C49" i="5"/>
  <c r="C14" i="5"/>
  <c r="C13" i="5"/>
  <c r="C15" i="5"/>
  <c r="C11" i="5"/>
  <c r="C46" i="5"/>
  <c r="C43" i="5"/>
  <c r="C42" i="5"/>
  <c r="C41" i="5"/>
  <c r="C40" i="5"/>
  <c r="C39" i="5"/>
  <c r="C12" i="5"/>
  <c r="C18" i="5"/>
  <c r="C10" i="4"/>
  <c r="C12" i="4"/>
  <c r="C11" i="4"/>
  <c r="C14" i="2"/>
  <c r="C22" i="2"/>
  <c r="C26" i="2"/>
  <c r="C31" i="2"/>
  <c r="C13" i="2"/>
  <c r="C23" i="2"/>
  <c r="C27" i="2"/>
  <c r="C34" i="2"/>
  <c r="C18" i="2"/>
  <c r="C24" i="2"/>
  <c r="C28" i="2"/>
  <c r="C35" i="2"/>
  <c r="C12" i="2"/>
  <c r="C19" i="2"/>
  <c r="C25" i="2"/>
  <c r="C30" i="2"/>
  <c r="G28" i="3" l="1"/>
  <c r="G56" i="1" s="1"/>
  <c r="I91" i="5"/>
  <c r="H94" i="5"/>
  <c r="J88" i="5"/>
  <c r="I82" i="5"/>
  <c r="K28" i="3"/>
  <c r="K56" i="1" s="1"/>
  <c r="K85" i="5"/>
  <c r="H28" i="3"/>
  <c r="H56" i="1" s="1"/>
  <c r="J91" i="5"/>
  <c r="I94" i="5"/>
  <c r="K88" i="5"/>
  <c r="J82" i="5"/>
  <c r="H85" i="5"/>
  <c r="G88" i="5"/>
  <c r="G102" i="5" s="1"/>
  <c r="G22" i="29" s="1"/>
  <c r="J28" i="3"/>
  <c r="J56" i="1" s="1"/>
  <c r="K94" i="5"/>
  <c r="J85" i="5"/>
  <c r="H91" i="5"/>
  <c r="H82" i="5"/>
  <c r="I88" i="5"/>
  <c r="I28" i="3"/>
  <c r="I56" i="1" s="1"/>
  <c r="I85" i="5"/>
  <c r="K91" i="5"/>
  <c r="K82" i="5"/>
  <c r="J94" i="5"/>
  <c r="H88" i="5"/>
  <c r="J56" i="27"/>
  <c r="H56" i="27"/>
  <c r="I56" i="27"/>
  <c r="G56" i="27"/>
  <c r="F56" i="27"/>
  <c r="E56" i="27"/>
  <c r="D56" i="27"/>
  <c r="K56" i="27"/>
  <c r="G41" i="17"/>
  <c r="G55" i="17" s="1"/>
  <c r="G40" i="29"/>
  <c r="K41" i="17"/>
  <c r="K40" i="29"/>
  <c r="H41" i="17"/>
  <c r="H40" i="29"/>
  <c r="D41" i="17"/>
  <c r="D55" i="17" s="1"/>
  <c r="D40" i="29"/>
  <c r="J41" i="17"/>
  <c r="J40" i="29"/>
  <c r="F41" i="17"/>
  <c r="F55" i="17" s="1"/>
  <c r="F40" i="29"/>
  <c r="I41" i="17"/>
  <c r="I40" i="29"/>
  <c r="E41" i="17"/>
  <c r="E55" i="17" s="1"/>
  <c r="E40" i="29"/>
  <c r="B159" i="28"/>
  <c r="B17" i="5" s="1"/>
  <c r="B45" i="5" s="1"/>
  <c r="B160" i="28"/>
  <c r="B158" i="28"/>
  <c r="B16" i="5" s="1"/>
  <c r="B44" i="5" s="1"/>
  <c r="B157" i="28"/>
  <c r="B15" i="5" s="1"/>
  <c r="B153" i="28"/>
  <c r="B11" i="5" s="1"/>
  <c r="B156" i="28"/>
  <c r="B14" i="5" s="1"/>
  <c r="B155" i="28"/>
  <c r="B13" i="5" s="1"/>
  <c r="B154" i="28"/>
  <c r="B12" i="5" s="1"/>
  <c r="E35" i="10"/>
  <c r="K35" i="10"/>
  <c r="I35" i="10"/>
  <c r="H35" i="10"/>
  <c r="F35" i="10"/>
  <c r="D35" i="10"/>
  <c r="J35" i="10"/>
  <c r="G35" i="10"/>
  <c r="K14" i="19"/>
  <c r="B10" i="2"/>
  <c r="B88" i="2" s="1"/>
  <c r="E28" i="2"/>
  <c r="E30" i="2" s="1"/>
  <c r="F28" i="2"/>
  <c r="G28" i="2"/>
  <c r="H28" i="2"/>
  <c r="I28" i="2"/>
  <c r="J28" i="2"/>
  <c r="K28" i="2"/>
  <c r="D28" i="2"/>
  <c r="J102" i="5" l="1"/>
  <c r="J22" i="29" s="1"/>
  <c r="I102" i="5"/>
  <c r="I22" i="29" s="1"/>
  <c r="H102" i="5"/>
  <c r="H22" i="29" s="1"/>
  <c r="K102" i="5"/>
  <c r="K22" i="29" s="1"/>
  <c r="L55" i="17"/>
  <c r="B69" i="5"/>
  <c r="B97" i="5"/>
  <c r="B100" i="5"/>
  <c r="B73" i="5"/>
  <c r="E43" i="17"/>
  <c r="F43" i="17"/>
  <c r="D43" i="17"/>
  <c r="E14" i="19"/>
  <c r="D14" i="19"/>
  <c r="G14" i="19"/>
  <c r="F14" i="19"/>
  <c r="H14" i="19"/>
  <c r="J14" i="19"/>
  <c r="I14" i="19"/>
  <c r="B41" i="5"/>
  <c r="B57" i="5"/>
  <c r="B65" i="5"/>
  <c r="B43" i="5"/>
  <c r="B42" i="5"/>
  <c r="B61" i="5"/>
  <c r="B53" i="5"/>
  <c r="B40" i="5"/>
  <c r="B49" i="5"/>
  <c r="B39" i="5"/>
  <c r="K30" i="2"/>
  <c r="J30" i="2"/>
  <c r="I30" i="2"/>
  <c r="H30" i="2"/>
  <c r="G31" i="2"/>
  <c r="F31" i="2"/>
  <c r="E31" i="2"/>
  <c r="B82" i="5"/>
  <c r="B94" i="5"/>
  <c r="B91" i="5"/>
  <c r="B88" i="5"/>
  <c r="B85" i="5"/>
  <c r="K31" i="2"/>
  <c r="J31" i="2"/>
  <c r="M28" i="2"/>
  <c r="I31" i="2"/>
  <c r="G30" i="2"/>
  <c r="D31" i="2"/>
  <c r="H31" i="2"/>
  <c r="D30" i="2"/>
  <c r="F14" i="2"/>
  <c r="F18" i="2" s="1"/>
  <c r="J14" i="2"/>
  <c r="J18" i="2" s="1"/>
  <c r="M13" i="2"/>
  <c r="F30" i="2"/>
  <c r="K14" i="2"/>
  <c r="K18" i="2" s="1"/>
  <c r="I14" i="2"/>
  <c r="I19" i="2" s="1"/>
  <c r="E14" i="2"/>
  <c r="E19" i="2" s="1"/>
  <c r="H14" i="2"/>
  <c r="D14" i="2"/>
  <c r="E35" i="2" l="1"/>
  <c r="B53" i="1"/>
  <c r="B55" i="1"/>
  <c r="B52" i="1"/>
  <c r="B54" i="1"/>
  <c r="B51" i="1"/>
  <c r="J34" i="2"/>
  <c r="J69" i="2" s="1"/>
  <c r="K34" i="2"/>
  <c r="K69" i="2" s="1"/>
  <c r="M31" i="2"/>
  <c r="M30" i="2"/>
  <c r="I35" i="2"/>
  <c r="F19" i="2"/>
  <c r="F35" i="2" s="1"/>
  <c r="J19" i="2"/>
  <c r="J35" i="2" s="1"/>
  <c r="F34" i="2"/>
  <c r="F69" i="2" s="1"/>
  <c r="E18" i="2"/>
  <c r="K19" i="2"/>
  <c r="K35" i="2" s="1"/>
  <c r="I18" i="2"/>
  <c r="H18" i="2"/>
  <c r="H19" i="2"/>
  <c r="H35" i="2" s="1"/>
  <c r="D19" i="2"/>
  <c r="F70" i="2" l="1"/>
  <c r="F71" i="2" s="1"/>
  <c r="F49" i="1"/>
  <c r="I70" i="2"/>
  <c r="I49" i="1"/>
  <c r="H70" i="2"/>
  <c r="H49" i="1"/>
  <c r="E70" i="2"/>
  <c r="E49" i="1"/>
  <c r="K70" i="2"/>
  <c r="K71" i="2" s="1"/>
  <c r="K49" i="1"/>
  <c r="J70" i="2"/>
  <c r="J71" i="2" s="1"/>
  <c r="J49" i="1"/>
  <c r="E34" i="2"/>
  <c r="E69" i="2" s="1"/>
  <c r="H34" i="2"/>
  <c r="H69" i="2" s="1"/>
  <c r="I34" i="2"/>
  <c r="I69" i="2" s="1"/>
  <c r="K36" i="2"/>
  <c r="J36" i="2"/>
  <c r="D35" i="2"/>
  <c r="F36" i="2"/>
  <c r="I71" i="2" l="1"/>
  <c r="E71" i="2"/>
  <c r="D70" i="2"/>
  <c r="D49" i="1"/>
  <c r="H71" i="2"/>
  <c r="H36" i="2"/>
  <c r="E36" i="2"/>
  <c r="I36" i="2"/>
  <c r="D18" i="2"/>
  <c r="H48" i="15"/>
  <c r="H80" i="15" s="1"/>
  <c r="I48" i="15"/>
  <c r="I80" i="15" s="1"/>
  <c r="J48" i="15"/>
  <c r="J80" i="15" s="1"/>
  <c r="K48" i="15"/>
  <c r="K80" i="15" s="1"/>
  <c r="E80" i="15" l="1"/>
  <c r="F80" i="15"/>
  <c r="D34" i="2"/>
  <c r="D69" i="2" s="1"/>
  <c r="D71" i="2" l="1"/>
  <c r="D36" i="2"/>
  <c r="G45" i="4" l="1"/>
  <c r="H45" i="4"/>
  <c r="I45" i="4"/>
  <c r="J45" i="4"/>
  <c r="K45" i="4"/>
  <c r="J66" i="4" l="1"/>
  <c r="K66" i="4"/>
  <c r="I66" i="4"/>
  <c r="H66" i="4"/>
  <c r="F43" i="5" l="1"/>
  <c r="D67" i="5"/>
  <c r="F55" i="1" l="1"/>
  <c r="D43" i="5"/>
  <c r="H18" i="4"/>
  <c r="G18" i="4"/>
  <c r="K18" i="4"/>
  <c r="D45" i="4"/>
  <c r="D66" i="4" s="1"/>
  <c r="D68" i="4" s="1"/>
  <c r="E45" i="4"/>
  <c r="E66" i="4" s="1"/>
  <c r="E68" i="4" s="1"/>
  <c r="D59" i="5"/>
  <c r="I18" i="4"/>
  <c r="F45" i="4"/>
  <c r="E41" i="5"/>
  <c r="J18" i="4"/>
  <c r="B31" i="1"/>
  <c r="B37" i="1"/>
  <c r="B38" i="1"/>
  <c r="B39" i="1"/>
  <c r="B42" i="1"/>
  <c r="B30" i="1"/>
  <c r="B12" i="1"/>
  <c r="B18" i="1"/>
  <c r="B19" i="1"/>
  <c r="B20" i="1"/>
  <c r="B21" i="1"/>
  <c r="B22" i="1"/>
  <c r="B23" i="1"/>
  <c r="B11" i="1"/>
  <c r="E15" i="4" l="1"/>
  <c r="D55" i="1"/>
  <c r="E53" i="1"/>
  <c r="F18" i="4"/>
  <c r="E18" i="4"/>
  <c r="D18" i="4"/>
  <c r="F66" i="4"/>
  <c r="F68" i="4" s="1"/>
  <c r="L57" i="5"/>
  <c r="F41" i="5"/>
  <c r="L15" i="5"/>
  <c r="M57" i="5"/>
  <c r="D41" i="5"/>
  <c r="M15" i="5"/>
  <c r="M13" i="5"/>
  <c r="L13" i="5"/>
  <c r="E42" i="5"/>
  <c r="D63" i="5"/>
  <c r="F42" i="5"/>
  <c r="F54" i="1" l="1"/>
  <c r="F53" i="1"/>
  <c r="E54" i="1"/>
  <c r="D53" i="1"/>
  <c r="D17" i="4"/>
  <c r="M41" i="5"/>
  <c r="L41" i="5"/>
  <c r="E43" i="5"/>
  <c r="M65" i="5"/>
  <c r="L65" i="5"/>
  <c r="M59" i="5"/>
  <c r="L59" i="5"/>
  <c r="M61" i="5"/>
  <c r="D42" i="5"/>
  <c r="L61" i="5"/>
  <c r="M14" i="5"/>
  <c r="L14" i="5"/>
  <c r="F39" i="5"/>
  <c r="E40" i="5"/>
  <c r="D51" i="5"/>
  <c r="D39" i="5" s="1"/>
  <c r="E39" i="5"/>
  <c r="E46" i="5" l="1"/>
  <c r="D15" i="4"/>
  <c r="N53" i="1"/>
  <c r="F51" i="1"/>
  <c r="E51" i="1"/>
  <c r="E55" i="1"/>
  <c r="M53" i="1"/>
  <c r="E52" i="1"/>
  <c r="D54" i="1"/>
  <c r="F17" i="4"/>
  <c r="E17" i="4"/>
  <c r="M43" i="5"/>
  <c r="L43" i="5"/>
  <c r="M42" i="5"/>
  <c r="L42" i="5"/>
  <c r="M63" i="5"/>
  <c r="L63" i="5"/>
  <c r="M49" i="5"/>
  <c r="L49" i="5"/>
  <c r="M67" i="5"/>
  <c r="L67" i="5"/>
  <c r="M11" i="5"/>
  <c r="L11" i="5"/>
  <c r="D36" i="19"/>
  <c r="D35" i="19"/>
  <c r="N55" i="1" l="1"/>
  <c r="N54" i="1"/>
  <c r="M55" i="1"/>
  <c r="G15" i="4"/>
  <c r="M54" i="1"/>
  <c r="D51" i="1"/>
  <c r="M39" i="5"/>
  <c r="L39" i="5"/>
  <c r="D55" i="5"/>
  <c r="L51" i="5"/>
  <c r="M51" i="5"/>
  <c r="M12" i="5"/>
  <c r="M18" i="5" s="1"/>
  <c r="L12" i="5"/>
  <c r="L18" i="5" s="1"/>
  <c r="A3" i="3"/>
  <c r="C11" i="13"/>
  <c r="C12" i="13"/>
  <c r="C10" i="13"/>
  <c r="M51" i="1" l="1"/>
  <c r="I47" i="29"/>
  <c r="E47" i="29"/>
  <c r="G47" i="29"/>
  <c r="H47" i="29"/>
  <c r="D47" i="29"/>
  <c r="K47" i="29"/>
  <c r="J47" i="29"/>
  <c r="F47" i="29"/>
  <c r="I61" i="17"/>
  <c r="E61" i="17"/>
  <c r="H61" i="17"/>
  <c r="D61" i="17"/>
  <c r="K61" i="17"/>
  <c r="G61" i="17"/>
  <c r="J61" i="17"/>
  <c r="F61" i="17"/>
  <c r="H42" i="10"/>
  <c r="F42" i="10"/>
  <c r="I42" i="10"/>
  <c r="D42" i="10"/>
  <c r="K42" i="10"/>
  <c r="G42" i="10"/>
  <c r="J42" i="10"/>
  <c r="E42" i="10"/>
  <c r="K41" i="10"/>
  <c r="G41" i="10"/>
  <c r="D41" i="10"/>
  <c r="F41" i="10"/>
  <c r="E41" i="10"/>
  <c r="H41" i="10"/>
  <c r="J41" i="10"/>
  <c r="I41" i="10"/>
  <c r="K15" i="4"/>
  <c r="I15" i="4"/>
  <c r="J15" i="4"/>
  <c r="H15" i="4"/>
  <c r="N51" i="1"/>
  <c r="J65" i="27"/>
  <c r="F65" i="27"/>
  <c r="I65" i="27"/>
  <c r="E65" i="27"/>
  <c r="H65" i="27"/>
  <c r="D65" i="27"/>
  <c r="K65" i="27"/>
  <c r="G65" i="27"/>
  <c r="H58" i="27"/>
  <c r="D58" i="27"/>
  <c r="E58" i="27"/>
  <c r="K58" i="27"/>
  <c r="G58" i="27"/>
  <c r="I58" i="27"/>
  <c r="J58" i="27"/>
  <c r="F58" i="27"/>
  <c r="D40" i="5"/>
  <c r="D46" i="5" s="1"/>
  <c r="L53" i="5"/>
  <c r="M53" i="5"/>
  <c r="F40" i="5"/>
  <c r="F46" i="5" s="1"/>
  <c r="D6" i="2"/>
  <c r="D78" i="2" s="1"/>
  <c r="A3" i="17"/>
  <c r="D77" i="2" l="1"/>
  <c r="E43" i="10"/>
  <c r="E47" i="10" s="1"/>
  <c r="D43" i="10"/>
  <c r="D47" i="10" s="1"/>
  <c r="D63" i="27" s="1"/>
  <c r="I43" i="10"/>
  <c r="I47" i="10" s="1"/>
  <c r="I63" i="27" s="1"/>
  <c r="G43" i="10"/>
  <c r="G47" i="10" s="1"/>
  <c r="G63" i="27" s="1"/>
  <c r="F43" i="10"/>
  <c r="F47" i="10" s="1"/>
  <c r="F63" i="27" s="1"/>
  <c r="J43" i="10"/>
  <c r="J47" i="10" s="1"/>
  <c r="J63" i="27" s="1"/>
  <c r="K43" i="10"/>
  <c r="K47" i="10" s="1"/>
  <c r="K63" i="27" s="1"/>
  <c r="H43" i="10"/>
  <c r="H47" i="10" s="1"/>
  <c r="H63" i="27" s="1"/>
  <c r="F15" i="4"/>
  <c r="D52" i="1"/>
  <c r="F52" i="1"/>
  <c r="M40" i="5"/>
  <c r="M46" i="5" s="1"/>
  <c r="L40" i="5"/>
  <c r="L46" i="5" s="1"/>
  <c r="M55" i="5"/>
  <c r="L55" i="5"/>
  <c r="E6" i="2"/>
  <c r="D5" i="2"/>
  <c r="E77" i="2" l="1"/>
  <c r="E78" i="2"/>
  <c r="E46" i="10"/>
  <c r="E50" i="10" s="1"/>
  <c r="E63" i="27"/>
  <c r="D79" i="2"/>
  <c r="D50" i="1" s="1"/>
  <c r="E45" i="10"/>
  <c r="E49" i="10" s="1"/>
  <c r="H45" i="10"/>
  <c r="H49" i="10" s="1"/>
  <c r="H79" i="17" s="1"/>
  <c r="H46" i="10"/>
  <c r="H50" i="10" s="1"/>
  <c r="G45" i="10"/>
  <c r="G49" i="10" s="1"/>
  <c r="G79" i="17" s="1"/>
  <c r="G46" i="10"/>
  <c r="G50" i="10" s="1"/>
  <c r="K45" i="10"/>
  <c r="K49" i="10" s="1"/>
  <c r="K79" i="17" s="1"/>
  <c r="K46" i="10"/>
  <c r="K50" i="10" s="1"/>
  <c r="J46" i="10"/>
  <c r="J50" i="10" s="1"/>
  <c r="J45" i="10"/>
  <c r="J49" i="10" s="1"/>
  <c r="J79" i="17" s="1"/>
  <c r="I46" i="10"/>
  <c r="I50" i="10" s="1"/>
  <c r="I45" i="10"/>
  <c r="I49" i="10" s="1"/>
  <c r="I79" i="17" s="1"/>
  <c r="F45" i="10"/>
  <c r="F49" i="10" s="1"/>
  <c r="F79" i="17" s="1"/>
  <c r="F46" i="10"/>
  <c r="F50" i="10" s="1"/>
  <c r="M52" i="1"/>
  <c r="N52" i="1"/>
  <c r="F6" i="2"/>
  <c r="E5" i="2"/>
  <c r="F85" i="17" l="1"/>
  <c r="F86" i="29" s="1"/>
  <c r="F87" i="29" s="1"/>
  <c r="D23" i="29"/>
  <c r="E79" i="2"/>
  <c r="E50" i="1" s="1"/>
  <c r="F77" i="2"/>
  <c r="F78" i="2"/>
  <c r="E65" i="1"/>
  <c r="E51" i="10"/>
  <c r="E79" i="17"/>
  <c r="J65" i="1"/>
  <c r="H65" i="1"/>
  <c r="G65" i="1"/>
  <c r="F65" i="1"/>
  <c r="F51" i="10"/>
  <c r="I51" i="10"/>
  <c r="G51" i="10"/>
  <c r="J51" i="10"/>
  <c r="K51" i="10"/>
  <c r="K65" i="1"/>
  <c r="H51" i="10"/>
  <c r="H48" i="1"/>
  <c r="F48" i="1"/>
  <c r="J48" i="1"/>
  <c r="K48" i="1"/>
  <c r="E48" i="1"/>
  <c r="G48" i="1"/>
  <c r="I65" i="1"/>
  <c r="G6" i="2"/>
  <c r="F5" i="2"/>
  <c r="A3" i="13"/>
  <c r="A2" i="13"/>
  <c r="A3" i="19"/>
  <c r="E85" i="17" l="1"/>
  <c r="E86" i="29" s="1"/>
  <c r="E87" i="29" s="1"/>
  <c r="E23" i="29"/>
  <c r="F79" i="2"/>
  <c r="F50" i="1" s="1"/>
  <c r="G77" i="2"/>
  <c r="G78" i="2"/>
  <c r="I48" i="1"/>
  <c r="H6" i="2"/>
  <c r="H78" i="2" s="1"/>
  <c r="G5" i="2"/>
  <c r="F23" i="29" l="1"/>
  <c r="G79" i="2"/>
  <c r="G50" i="1" s="1"/>
  <c r="H77" i="2"/>
  <c r="I6" i="2"/>
  <c r="H5" i="2"/>
  <c r="A3" i="15"/>
  <c r="A2" i="15"/>
  <c r="G23" i="29" l="1"/>
  <c r="I77" i="2"/>
  <c r="I78" i="2"/>
  <c r="H79" i="2"/>
  <c r="H50" i="1" s="1"/>
  <c r="J6" i="2"/>
  <c r="I5" i="2"/>
  <c r="A3" i="14"/>
  <c r="A2" i="14"/>
  <c r="A3" i="21"/>
  <c r="A2" i="21"/>
  <c r="A3" i="20"/>
  <c r="A2" i="20"/>
  <c r="A2" i="19"/>
  <c r="A3" i="11"/>
  <c r="A2" i="11"/>
  <c r="A3" i="10"/>
  <c r="A2" i="10"/>
  <c r="A2" i="17"/>
  <c r="A3" i="2"/>
  <c r="A2" i="2"/>
  <c r="A2" i="3"/>
  <c r="A3" i="5"/>
  <c r="A2" i="5"/>
  <c r="A3" i="4"/>
  <c r="A2" i="4"/>
  <c r="A3" i="1"/>
  <c r="A2" i="1"/>
  <c r="H23" i="29" l="1"/>
  <c r="I79" i="2"/>
  <c r="I50" i="1" s="1"/>
  <c r="M50" i="1" s="1"/>
  <c r="J77" i="2"/>
  <c r="J78" i="2"/>
  <c r="K6" i="2"/>
  <c r="K78" i="2" s="1"/>
  <c r="J5" i="2"/>
  <c r="I23" i="29" l="1"/>
  <c r="J79" i="2"/>
  <c r="J50" i="1" s="1"/>
  <c r="L54" i="2"/>
  <c r="K77" i="2"/>
  <c r="L41" i="2"/>
  <c r="L56" i="2"/>
  <c r="L77" i="2"/>
  <c r="L31" i="2"/>
  <c r="L47" i="2"/>
  <c r="L46" i="2"/>
  <c r="L27" i="2"/>
  <c r="L24" i="2"/>
  <c r="L58" i="2"/>
  <c r="L79" i="2"/>
  <c r="L22" i="2"/>
  <c r="L51" i="2"/>
  <c r="L59" i="2"/>
  <c r="L63" i="2"/>
  <c r="L52" i="2"/>
  <c r="L23" i="2"/>
  <c r="L26" i="2"/>
  <c r="L40" i="2"/>
  <c r="L62" i="2"/>
  <c r="L30" i="2"/>
  <c r="L55" i="2"/>
  <c r="L53" i="2"/>
  <c r="L50" i="2"/>
  <c r="L25" i="2"/>
  <c r="L64" i="2"/>
  <c r="K14" i="4"/>
  <c r="K26" i="4" s="1"/>
  <c r="E14" i="4"/>
  <c r="E26" i="4" s="1"/>
  <c r="E28" i="4" s="1"/>
  <c r="D14" i="4"/>
  <c r="D26" i="4" s="1"/>
  <c r="D28" i="4" s="1"/>
  <c r="H14" i="4"/>
  <c r="H26" i="4" s="1"/>
  <c r="G14" i="4"/>
  <c r="G26" i="4" s="1"/>
  <c r="I14" i="4"/>
  <c r="I26" i="4" s="1"/>
  <c r="F14" i="4"/>
  <c r="F26" i="4" s="1"/>
  <c r="F28" i="4" s="1"/>
  <c r="J14" i="4"/>
  <c r="J26" i="4" s="1"/>
  <c r="E86" i="2"/>
  <c r="L13" i="2"/>
  <c r="K5" i="2"/>
  <c r="L28" i="2"/>
  <c r="G28" i="4" l="1"/>
  <c r="M77" i="2"/>
  <c r="J23" i="29"/>
  <c r="K79" i="2"/>
  <c r="K50" i="1" s="1"/>
  <c r="E58" i="10"/>
  <c r="E57" i="10"/>
  <c r="E54" i="10"/>
  <c r="E53" i="10"/>
  <c r="L42" i="2"/>
  <c r="F86" i="2"/>
  <c r="F101" i="2" s="1"/>
  <c r="H86" i="2"/>
  <c r="H128" i="2" s="1"/>
  <c r="I86" i="2"/>
  <c r="I105" i="2" s="1"/>
  <c r="K86" i="2"/>
  <c r="K119" i="2" s="1"/>
  <c r="D86" i="2"/>
  <c r="G86" i="2"/>
  <c r="G119" i="2" s="1"/>
  <c r="J86" i="2"/>
  <c r="J105" i="2" s="1"/>
  <c r="E119" i="2"/>
  <c r="E118" i="2"/>
  <c r="E105" i="2"/>
  <c r="E101" i="2"/>
  <c r="E128" i="2"/>
  <c r="E129" i="2"/>
  <c r="E104" i="2"/>
  <c r="E100" i="2"/>
  <c r="E130" i="2"/>
  <c r="E131" i="2"/>
  <c r="E132" i="2"/>
  <c r="E103" i="2"/>
  <c r="E133" i="2"/>
  <c r="E102" i="2"/>
  <c r="E91" i="2"/>
  <c r="E90" i="2"/>
  <c r="E82" i="15" l="1"/>
  <c r="K23" i="29"/>
  <c r="M79" i="2"/>
  <c r="E81" i="15"/>
  <c r="D128" i="2"/>
  <c r="D118" i="2"/>
  <c r="E55" i="10"/>
  <c r="E59" i="10"/>
  <c r="F132" i="2"/>
  <c r="F103" i="2"/>
  <c r="I58" i="10"/>
  <c r="G58" i="10"/>
  <c r="H58" i="10"/>
  <c r="J58" i="10"/>
  <c r="F58" i="10"/>
  <c r="K58" i="10"/>
  <c r="I57" i="10"/>
  <c r="I54" i="10"/>
  <c r="I53" i="10"/>
  <c r="H57" i="10"/>
  <c r="H54" i="10"/>
  <c r="H53" i="10"/>
  <c r="G57" i="10"/>
  <c r="G54" i="10"/>
  <c r="G53" i="10"/>
  <c r="J57" i="10"/>
  <c r="J54" i="10"/>
  <c r="J53" i="10"/>
  <c r="F57" i="10"/>
  <c r="F54" i="10"/>
  <c r="F53" i="10"/>
  <c r="K57" i="10"/>
  <c r="K54" i="10"/>
  <c r="K53" i="10"/>
  <c r="F119" i="2"/>
  <c r="F118" i="2"/>
  <c r="F104" i="2"/>
  <c r="I118" i="2"/>
  <c r="F131" i="2"/>
  <c r="I101" i="2"/>
  <c r="I131" i="2"/>
  <c r="I133" i="2"/>
  <c r="F129" i="2"/>
  <c r="F133" i="2"/>
  <c r="F128" i="2"/>
  <c r="F91" i="2"/>
  <c r="F130" i="2"/>
  <c r="F105" i="2"/>
  <c r="I103" i="2"/>
  <c r="I130" i="2"/>
  <c r="F90" i="2"/>
  <c r="F82" i="15" s="1"/>
  <c r="F102" i="2"/>
  <c r="F100" i="2"/>
  <c r="I102" i="2"/>
  <c r="I100" i="2"/>
  <c r="I119" i="2"/>
  <c r="H131" i="2"/>
  <c r="H100" i="2"/>
  <c r="H90" i="2"/>
  <c r="H101" i="2"/>
  <c r="H102" i="2"/>
  <c r="H118" i="2"/>
  <c r="I90" i="2"/>
  <c r="I82" i="15" s="1"/>
  <c r="I129" i="2"/>
  <c r="I128" i="2"/>
  <c r="K118" i="2"/>
  <c r="K120" i="2" s="1"/>
  <c r="K124" i="2" s="1"/>
  <c r="H133" i="2"/>
  <c r="H129" i="2"/>
  <c r="I91" i="2"/>
  <c r="I132" i="2"/>
  <c r="I104" i="2"/>
  <c r="G118" i="2"/>
  <c r="G120" i="2" s="1"/>
  <c r="G125" i="2" s="1"/>
  <c r="K133" i="2"/>
  <c r="K131" i="2"/>
  <c r="K129" i="2"/>
  <c r="K90" i="2"/>
  <c r="K91" i="2"/>
  <c r="K100" i="2"/>
  <c r="K101" i="2"/>
  <c r="K102" i="2"/>
  <c r="K103" i="2"/>
  <c r="K104" i="2"/>
  <c r="K105" i="2"/>
  <c r="H132" i="2"/>
  <c r="H103" i="2"/>
  <c r="H104" i="2"/>
  <c r="H105" i="2"/>
  <c r="J118" i="2"/>
  <c r="K132" i="2"/>
  <c r="K130" i="2"/>
  <c r="K128" i="2"/>
  <c r="H91" i="2"/>
  <c r="H119" i="2"/>
  <c r="H130" i="2"/>
  <c r="D132" i="2"/>
  <c r="D131" i="2"/>
  <c r="D100" i="2"/>
  <c r="D102" i="2"/>
  <c r="D129" i="2"/>
  <c r="D91" i="2"/>
  <c r="D101" i="2"/>
  <c r="D104" i="2"/>
  <c r="D133" i="2"/>
  <c r="D103" i="2"/>
  <c r="D105" i="2"/>
  <c r="D90" i="2"/>
  <c r="D119" i="2"/>
  <c r="D130" i="2"/>
  <c r="G101" i="2"/>
  <c r="J129" i="2"/>
  <c r="J91" i="2"/>
  <c r="G103" i="2"/>
  <c r="J131" i="2"/>
  <c r="G131" i="2"/>
  <c r="J132" i="2"/>
  <c r="J130" i="2"/>
  <c r="J128" i="2"/>
  <c r="J119" i="2"/>
  <c r="J90" i="2"/>
  <c r="J102" i="2"/>
  <c r="J100" i="2"/>
  <c r="J101" i="2"/>
  <c r="G100" i="2"/>
  <c r="J133" i="2"/>
  <c r="J103" i="2"/>
  <c r="J104" i="2"/>
  <c r="G132" i="2"/>
  <c r="G129" i="2"/>
  <c r="G91" i="2"/>
  <c r="G133" i="2"/>
  <c r="G104" i="2"/>
  <c r="G105" i="2"/>
  <c r="G102" i="2"/>
  <c r="G130" i="2"/>
  <c r="G128" i="2"/>
  <c r="E92" i="2"/>
  <c r="E96" i="2" s="1"/>
  <c r="N50" i="1"/>
  <c r="E106" i="2"/>
  <c r="E134" i="2"/>
  <c r="E120" i="2"/>
  <c r="E14" i="20"/>
  <c r="F14" i="20"/>
  <c r="D14" i="20"/>
  <c r="H82" i="15" l="1"/>
  <c r="E55" i="27"/>
  <c r="E57" i="27"/>
  <c r="I81" i="15"/>
  <c r="J81" i="15"/>
  <c r="H81" i="15"/>
  <c r="K81" i="15"/>
  <c r="F16" i="20"/>
  <c r="E16" i="20"/>
  <c r="D16" i="20"/>
  <c r="D81" i="15"/>
  <c r="F81" i="15"/>
  <c r="L128" i="2"/>
  <c r="L118" i="2"/>
  <c r="H92" i="2"/>
  <c r="H96" i="2" s="1"/>
  <c r="F55" i="10"/>
  <c r="I55" i="10"/>
  <c r="K55" i="10"/>
  <c r="H55" i="10"/>
  <c r="G55" i="10"/>
  <c r="J55" i="10"/>
  <c r="F120" i="2"/>
  <c r="F124" i="2" s="1"/>
  <c r="F59" i="10"/>
  <c r="H59" i="10"/>
  <c r="J59" i="10"/>
  <c r="I59" i="10"/>
  <c r="K59" i="10"/>
  <c r="G59" i="10"/>
  <c r="I120" i="2"/>
  <c r="I124" i="2" s="1"/>
  <c r="F134" i="2"/>
  <c r="F137" i="2" s="1"/>
  <c r="L129" i="2"/>
  <c r="I106" i="2"/>
  <c r="I108" i="2" s="1"/>
  <c r="F92" i="2"/>
  <c r="F97" i="2" s="1"/>
  <c r="D120" i="2"/>
  <c r="D124" i="2" s="1"/>
  <c r="F106" i="2"/>
  <c r="F108" i="2" s="1"/>
  <c r="I92" i="2"/>
  <c r="I97" i="2" s="1"/>
  <c r="I134" i="2"/>
  <c r="I137" i="2" s="1"/>
  <c r="H120" i="2"/>
  <c r="H124" i="2" s="1"/>
  <c r="K134" i="2"/>
  <c r="K136" i="2" s="1"/>
  <c r="K140" i="2" s="1"/>
  <c r="H134" i="2"/>
  <c r="H136" i="2" s="1"/>
  <c r="K106" i="2"/>
  <c r="K108" i="2" s="1"/>
  <c r="H106" i="2"/>
  <c r="H109" i="2" s="1"/>
  <c r="K92" i="2"/>
  <c r="K97" i="2" s="1"/>
  <c r="M91" i="2"/>
  <c r="J120" i="2"/>
  <c r="J125" i="2" s="1"/>
  <c r="L105" i="2"/>
  <c r="L101" i="2"/>
  <c r="L100" i="2"/>
  <c r="L130" i="2"/>
  <c r="L103" i="2"/>
  <c r="L91" i="2"/>
  <c r="L131" i="2"/>
  <c r="L104" i="2"/>
  <c r="L102" i="2"/>
  <c r="L132" i="2"/>
  <c r="M118" i="2"/>
  <c r="D92" i="2"/>
  <c r="D96" i="2" s="1"/>
  <c r="L119" i="2"/>
  <c r="M130" i="2"/>
  <c r="M105" i="2"/>
  <c r="M103" i="2"/>
  <c r="D134" i="2"/>
  <c r="D136" i="2" s="1"/>
  <c r="M102" i="2"/>
  <c r="M100" i="2"/>
  <c r="D106" i="2"/>
  <c r="D108" i="2" s="1"/>
  <c r="L133" i="2"/>
  <c r="M131" i="2"/>
  <c r="J134" i="2"/>
  <c r="J137" i="2" s="1"/>
  <c r="M129" i="2"/>
  <c r="M132" i="2"/>
  <c r="J106" i="2"/>
  <c r="J108" i="2" s="1"/>
  <c r="M101" i="2"/>
  <c r="M133" i="2"/>
  <c r="G106" i="2"/>
  <c r="M128" i="2"/>
  <c r="M104" i="2"/>
  <c r="K125" i="2"/>
  <c r="M119" i="2"/>
  <c r="J92" i="2"/>
  <c r="J97" i="2" s="1"/>
  <c r="G134" i="2"/>
  <c r="G136" i="2" s="1"/>
  <c r="G124" i="2"/>
  <c r="E97" i="2"/>
  <c r="E125" i="2"/>
  <c r="E124" i="2"/>
  <c r="E136" i="2"/>
  <c r="E137" i="2"/>
  <c r="E109" i="2"/>
  <c r="E108" i="2"/>
  <c r="E112" i="2" s="1"/>
  <c r="K109" i="2" l="1"/>
  <c r="K113" i="2" s="1"/>
  <c r="E62" i="27"/>
  <c r="E66" i="1" s="1"/>
  <c r="E30" i="1" s="1"/>
  <c r="E48" i="29"/>
  <c r="E59" i="27"/>
  <c r="E61" i="27"/>
  <c r="E64" i="27" s="1"/>
  <c r="E62" i="17" s="1"/>
  <c r="E69" i="17" s="1"/>
  <c r="F55" i="27"/>
  <c r="F57" i="27"/>
  <c r="H8" i="20"/>
  <c r="H57" i="1" s="1"/>
  <c r="H58" i="1" s="1"/>
  <c r="E8" i="20"/>
  <c r="E57" i="1" s="1"/>
  <c r="D8" i="20"/>
  <c r="D57" i="1" s="1"/>
  <c r="F8" i="20"/>
  <c r="F57" i="1" s="1"/>
  <c r="I8" i="20"/>
  <c r="I57" i="1" s="1"/>
  <c r="I58" i="1" s="1"/>
  <c r="J8" i="20"/>
  <c r="J57" i="1" s="1"/>
  <c r="J58" i="1" s="1"/>
  <c r="G8" i="20"/>
  <c r="G57" i="1" s="1"/>
  <c r="K8" i="20"/>
  <c r="K57" i="1" s="1"/>
  <c r="K58" i="1" s="1"/>
  <c r="L120" i="2"/>
  <c r="H97" i="2"/>
  <c r="H113" i="2" s="1"/>
  <c r="I125" i="2"/>
  <c r="I141" i="2" s="1"/>
  <c r="F136" i="2"/>
  <c r="F140" i="2" s="1"/>
  <c r="F125" i="2"/>
  <c r="F141" i="2" s="1"/>
  <c r="F96" i="2"/>
  <c r="F112" i="2" s="1"/>
  <c r="I109" i="2"/>
  <c r="I113" i="2" s="1"/>
  <c r="D125" i="2"/>
  <c r="F109" i="2"/>
  <c r="F113" i="2" s="1"/>
  <c r="I96" i="2"/>
  <c r="I112" i="2" s="1"/>
  <c r="I136" i="2"/>
  <c r="I140" i="2" s="1"/>
  <c r="K137" i="2"/>
  <c r="K141" i="2" s="1"/>
  <c r="K142" i="2" s="1"/>
  <c r="H125" i="2"/>
  <c r="H140" i="2"/>
  <c r="H137" i="2"/>
  <c r="K96" i="2"/>
  <c r="K112" i="2" s="1"/>
  <c r="K147" i="2" s="1"/>
  <c r="H108" i="2"/>
  <c r="H112" i="2" s="1"/>
  <c r="J124" i="2"/>
  <c r="L134" i="2"/>
  <c r="D97" i="2"/>
  <c r="L106" i="2"/>
  <c r="M120" i="2"/>
  <c r="D109" i="2"/>
  <c r="D137" i="2"/>
  <c r="M106" i="2"/>
  <c r="G137" i="2"/>
  <c r="G141" i="2" s="1"/>
  <c r="G108" i="2"/>
  <c r="M134" i="2"/>
  <c r="J136" i="2"/>
  <c r="J109" i="2"/>
  <c r="J113" i="2" s="1"/>
  <c r="J96" i="2"/>
  <c r="J112" i="2" s="1"/>
  <c r="G109" i="2"/>
  <c r="G140" i="2"/>
  <c r="E113" i="2"/>
  <c r="E114" i="2" s="1"/>
  <c r="J141" i="2"/>
  <c r="E141" i="2"/>
  <c r="D140" i="2"/>
  <c r="L124" i="2"/>
  <c r="D112" i="2"/>
  <c r="E140" i="2"/>
  <c r="E147" i="2" s="1"/>
  <c r="E34" i="1" l="1"/>
  <c r="E29" i="1"/>
  <c r="E31" i="1"/>
  <c r="E36" i="1"/>
  <c r="E33" i="1"/>
  <c r="E32" i="1"/>
  <c r="E35" i="1"/>
  <c r="E66" i="27"/>
  <c r="E65" i="17"/>
  <c r="E38" i="1"/>
  <c r="F48" i="29"/>
  <c r="F61" i="27"/>
  <c r="F64" i="27" s="1"/>
  <c r="F59" i="27"/>
  <c r="F62" i="27"/>
  <c r="F66" i="1" s="1"/>
  <c r="M57" i="1"/>
  <c r="N57" i="1"/>
  <c r="L136" i="2"/>
  <c r="M125" i="2"/>
  <c r="D141" i="2"/>
  <c r="D142" i="2" s="1"/>
  <c r="L125" i="2"/>
  <c r="I114" i="2"/>
  <c r="I148" i="2"/>
  <c r="H147" i="2"/>
  <c r="M136" i="2"/>
  <c r="L108" i="2"/>
  <c r="H141" i="2"/>
  <c r="H142" i="2" s="1"/>
  <c r="K114" i="2"/>
  <c r="J140" i="2"/>
  <c r="J142" i="2" s="1"/>
  <c r="M124" i="2"/>
  <c r="D113" i="2"/>
  <c r="G142" i="2"/>
  <c r="L109" i="2"/>
  <c r="M137" i="2"/>
  <c r="I147" i="2"/>
  <c r="L137" i="2"/>
  <c r="H114" i="2"/>
  <c r="M108" i="2"/>
  <c r="M109" i="2"/>
  <c r="K148" i="2"/>
  <c r="K149" i="2" s="1"/>
  <c r="E148" i="2"/>
  <c r="E149" i="2" s="1"/>
  <c r="J148" i="2"/>
  <c r="F142" i="2"/>
  <c r="F147" i="2"/>
  <c r="I142" i="2"/>
  <c r="F148" i="2"/>
  <c r="D147" i="2"/>
  <c r="L140" i="2"/>
  <c r="E142" i="2"/>
  <c r="J114" i="2"/>
  <c r="F114" i="2"/>
  <c r="B13" i="1"/>
  <c r="B32" i="1"/>
  <c r="B16" i="1"/>
  <c r="B35" i="1"/>
  <c r="B14" i="1"/>
  <c r="B33" i="1"/>
  <c r="B15" i="1"/>
  <c r="B34" i="1"/>
  <c r="B17" i="1"/>
  <c r="B36" i="1"/>
  <c r="F35" i="29" l="1"/>
  <c r="F38" i="29" s="1"/>
  <c r="F50" i="29" s="1"/>
  <c r="E35" i="29"/>
  <c r="E38" i="29" s="1"/>
  <c r="E66" i="17"/>
  <c r="E68" i="17" s="1"/>
  <c r="E87" i="17" s="1"/>
  <c r="E51" i="29"/>
  <c r="F34" i="1"/>
  <c r="F29" i="1"/>
  <c r="F33" i="1"/>
  <c r="F35" i="1"/>
  <c r="F31" i="1"/>
  <c r="F36" i="1"/>
  <c r="F30" i="1"/>
  <c r="F32" i="1"/>
  <c r="F38" i="1"/>
  <c r="F66" i="27"/>
  <c r="F62" i="17"/>
  <c r="F69" i="17" s="1"/>
  <c r="H148" i="2"/>
  <c r="H149" i="2" s="1"/>
  <c r="I149" i="2"/>
  <c r="D148" i="2"/>
  <c r="M141" i="2"/>
  <c r="L141" i="2"/>
  <c r="M140" i="2"/>
  <c r="J147" i="2"/>
  <c r="D114" i="2"/>
  <c r="F149" i="2"/>
  <c r="M142" i="2"/>
  <c r="L142" i="2"/>
  <c r="G10" i="1"/>
  <c r="H10" i="1"/>
  <c r="E10" i="1"/>
  <c r="K10" i="1"/>
  <c r="F10" i="1"/>
  <c r="J10" i="1"/>
  <c r="I10" i="1"/>
  <c r="E88" i="29" l="1"/>
  <c r="E89" i="29" s="1"/>
  <c r="E90" i="29" s="1"/>
  <c r="F42" i="29"/>
  <c r="F65" i="17"/>
  <c r="F66" i="17" s="1"/>
  <c r="F68" i="17" s="1"/>
  <c r="F87" i="17" s="1"/>
  <c r="E89" i="17"/>
  <c r="E50" i="29"/>
  <c r="E52" i="29" s="1"/>
  <c r="E54" i="29" s="1"/>
  <c r="E42" i="29"/>
  <c r="D149" i="2"/>
  <c r="J149" i="2"/>
  <c r="I12" i="1"/>
  <c r="I16" i="1"/>
  <c r="I15" i="1"/>
  <c r="I13" i="1"/>
  <c r="I14" i="1"/>
  <c r="I17" i="1"/>
  <c r="J13" i="1"/>
  <c r="J17" i="1"/>
  <c r="J12" i="1"/>
  <c r="J16" i="1"/>
  <c r="J14" i="1"/>
  <c r="J15" i="1"/>
  <c r="H15" i="1"/>
  <c r="H14" i="1"/>
  <c r="H12" i="1"/>
  <c r="H13" i="1"/>
  <c r="H17" i="1"/>
  <c r="H16" i="1"/>
  <c r="E12" i="1"/>
  <c r="E16" i="1"/>
  <c r="E15" i="1"/>
  <c r="E17" i="1"/>
  <c r="E14" i="1"/>
  <c r="E13" i="1"/>
  <c r="F13" i="1"/>
  <c r="F17" i="1"/>
  <c r="F12" i="1"/>
  <c r="F16" i="1"/>
  <c r="F15" i="1"/>
  <c r="F14" i="1"/>
  <c r="K14" i="1"/>
  <c r="K13" i="1"/>
  <c r="K17" i="1"/>
  <c r="K15" i="1"/>
  <c r="K12" i="1"/>
  <c r="K16" i="1"/>
  <c r="G14" i="1"/>
  <c r="G13" i="1"/>
  <c r="G17" i="1"/>
  <c r="G12" i="1"/>
  <c r="G16" i="1"/>
  <c r="G15" i="1"/>
  <c r="F19" i="1"/>
  <c r="I19" i="1"/>
  <c r="I18" i="1"/>
  <c r="E19" i="1"/>
  <c r="J18" i="1"/>
  <c r="J19" i="1"/>
  <c r="K19" i="1"/>
  <c r="K18" i="1"/>
  <c r="H18" i="1"/>
  <c r="H19" i="1"/>
  <c r="G18" i="1"/>
  <c r="G19" i="1"/>
  <c r="F88" i="29" l="1"/>
  <c r="F89" i="29" s="1"/>
  <c r="F90" i="29" s="1"/>
  <c r="E60" i="1"/>
  <c r="E59" i="1"/>
  <c r="F51" i="29"/>
  <c r="F52" i="29" s="1"/>
  <c r="F54" i="29" s="1"/>
  <c r="G35" i="29"/>
  <c r="H35" i="29"/>
  <c r="I35" i="29"/>
  <c r="J35" i="29"/>
  <c r="K35" i="29"/>
  <c r="F89" i="17"/>
  <c r="H38" i="29" l="1"/>
  <c r="I38" i="29"/>
  <c r="K38" i="29"/>
  <c r="G38" i="29"/>
  <c r="J38" i="29"/>
  <c r="F60" i="1"/>
  <c r="F59" i="1"/>
  <c r="E21" i="1"/>
  <c r="E40" i="1"/>
  <c r="E11" i="1"/>
  <c r="H11" i="1"/>
  <c r="I11" i="1"/>
  <c r="J11" i="1"/>
  <c r="K11" i="1"/>
  <c r="H50" i="29" l="1"/>
  <c r="H42" i="29"/>
  <c r="K50" i="29"/>
  <c r="K42" i="29"/>
  <c r="J42" i="29"/>
  <c r="J50" i="29"/>
  <c r="G50" i="29"/>
  <c r="G42" i="29"/>
  <c r="I50" i="29"/>
  <c r="I42" i="29"/>
  <c r="F40" i="1"/>
  <c r="F21" i="1"/>
  <c r="K20" i="1"/>
  <c r="H20" i="1"/>
  <c r="I20" i="1"/>
  <c r="J20" i="1"/>
  <c r="F11" i="1" l="1"/>
  <c r="D45" i="10" l="1"/>
  <c r="D49" i="10" s="1"/>
  <c r="D46" i="10"/>
  <c r="D50" i="10" s="1"/>
  <c r="D53" i="10" l="1"/>
  <c r="D79" i="17"/>
  <c r="D58" i="10"/>
  <c r="D48" i="1"/>
  <c r="D65" i="1"/>
  <c r="D54" i="10"/>
  <c r="M15" i="1" l="1"/>
  <c r="N15" i="1"/>
  <c r="M17" i="1"/>
  <c r="N17" i="1"/>
  <c r="N16" i="1"/>
  <c r="M13" i="1"/>
  <c r="N13" i="1"/>
  <c r="N14" i="1"/>
  <c r="M16" i="1"/>
  <c r="M14" i="1"/>
  <c r="M12" i="1"/>
  <c r="N12" i="1"/>
  <c r="N19" i="1"/>
  <c r="M19" i="1"/>
  <c r="N10" i="1"/>
  <c r="M10" i="1"/>
  <c r="D85" i="17"/>
  <c r="D86" i="29" s="1"/>
  <c r="D87" i="29" s="1"/>
  <c r="D55" i="10"/>
  <c r="L79" i="17"/>
  <c r="M79" i="17"/>
  <c r="D15" i="1"/>
  <c r="D17" i="1"/>
  <c r="D19" i="1"/>
  <c r="D14" i="1"/>
  <c r="D12" i="1"/>
  <c r="D13" i="1"/>
  <c r="D11" i="1"/>
  <c r="D16" i="1"/>
  <c r="D51" i="10"/>
  <c r="D57" i="10"/>
  <c r="D59" i="10" s="1"/>
  <c r="D10" i="1"/>
  <c r="N48" i="1"/>
  <c r="M48" i="1"/>
  <c r="D55" i="27" l="1"/>
  <c r="D57" i="27"/>
  <c r="D61" i="27" s="1"/>
  <c r="D35" i="29" l="1"/>
  <c r="D38" i="29" s="1"/>
  <c r="D50" i="29" s="1"/>
  <c r="D59" i="27"/>
  <c r="D62" i="27"/>
  <c r="D66" i="1" s="1"/>
  <c r="D48" i="29"/>
  <c r="D64" i="27"/>
  <c r="D62" i="17" s="1"/>
  <c r="D69" i="17" s="1"/>
  <c r="D42" i="29" l="1"/>
  <c r="D34" i="1"/>
  <c r="D31" i="1"/>
  <c r="D36" i="1"/>
  <c r="D33" i="1"/>
  <c r="D35" i="1"/>
  <c r="D38" i="1"/>
  <c r="D30" i="1"/>
  <c r="D32" i="1"/>
  <c r="D29" i="1"/>
  <c r="D65" i="17"/>
  <c r="D66" i="27"/>
  <c r="D66" i="17" l="1"/>
  <c r="D68" i="17" s="1"/>
  <c r="D51" i="29"/>
  <c r="D52" i="29" s="1"/>
  <c r="D54" i="29" s="1"/>
  <c r="D78" i="15"/>
  <c r="D80" i="15" s="1"/>
  <c r="D82" i="15" s="1"/>
  <c r="D87" i="17" l="1"/>
  <c r="D88" i="29" l="1"/>
  <c r="D89" i="29" s="1"/>
  <c r="D89" i="17"/>
  <c r="D90" i="29" l="1"/>
  <c r="D59" i="1"/>
  <c r="D60" i="1" l="1"/>
  <c r="D40" i="1" s="1"/>
  <c r="D21" i="1"/>
  <c r="G13" i="11" l="1"/>
  <c r="D13" i="11" l="1"/>
  <c r="E13" i="11"/>
  <c r="F13" i="11" l="1"/>
  <c r="G64" i="4" l="1"/>
  <c r="G66" i="4" s="1"/>
  <c r="G68" i="4" s="1"/>
  <c r="E28" i="3" l="1"/>
  <c r="E56" i="1" s="1"/>
  <c r="E58" i="1" l="1"/>
  <c r="E37" i="1"/>
  <c r="E39" i="1" s="1"/>
  <c r="E18" i="1"/>
  <c r="E20" i="1" s="1"/>
  <c r="D28" i="3" l="1"/>
  <c r="D56" i="1" s="1"/>
  <c r="D18" i="1" l="1"/>
  <c r="D20" i="1" s="1"/>
  <c r="D58" i="1"/>
  <c r="M18" i="1"/>
  <c r="D37" i="1"/>
  <c r="D39" i="1" s="1"/>
  <c r="F28" i="3"/>
  <c r="F56" i="1" s="1"/>
  <c r="M56" i="1" s="1"/>
  <c r="N56" i="1" l="1"/>
  <c r="F58" i="1"/>
  <c r="F37" i="1"/>
  <c r="F39" i="1" s="1"/>
  <c r="F18" i="1"/>
  <c r="F20" i="1" s="1"/>
  <c r="N18" i="1"/>
  <c r="E50" i="15" l="1"/>
  <c r="F50" i="15" l="1"/>
  <c r="D50" i="15" l="1"/>
  <c r="G78" i="15" l="1"/>
  <c r="G14" i="2" l="1"/>
  <c r="M12" i="2"/>
  <c r="M14" i="2" s="1"/>
  <c r="L12" i="2"/>
  <c r="L14" i="2" s="1"/>
  <c r="G90" i="2"/>
  <c r="M90" i="2" l="1"/>
  <c r="M92" i="2" s="1"/>
  <c r="G92" i="2"/>
  <c r="G81" i="15"/>
  <c r="L90" i="2"/>
  <c r="L92" i="2" s="1"/>
  <c r="G19" i="2"/>
  <c r="G18" i="2"/>
  <c r="L18" i="2" l="1"/>
  <c r="M18" i="2"/>
  <c r="G34" i="2"/>
  <c r="G35" i="2"/>
  <c r="M19" i="2"/>
  <c r="L19" i="2"/>
  <c r="G96" i="2"/>
  <c r="G97" i="2"/>
  <c r="M97" i="2" l="1"/>
  <c r="G113" i="2"/>
  <c r="L97" i="2"/>
  <c r="G70" i="2"/>
  <c r="G49" i="1"/>
  <c r="M35" i="2"/>
  <c r="L35" i="2"/>
  <c r="G112" i="2"/>
  <c r="L96" i="2"/>
  <c r="M96" i="2"/>
  <c r="G69" i="2"/>
  <c r="G36" i="2"/>
  <c r="L34" i="2"/>
  <c r="M34" i="2"/>
  <c r="M36" i="2" l="1"/>
  <c r="L36" i="2"/>
  <c r="G147" i="2"/>
  <c r="G114" i="2"/>
  <c r="M112" i="2"/>
  <c r="L112" i="2"/>
  <c r="L70" i="2"/>
  <c r="M70" i="2"/>
  <c r="G71" i="2"/>
  <c r="M69" i="2"/>
  <c r="L69" i="2"/>
  <c r="G148" i="2"/>
  <c r="L113" i="2"/>
  <c r="M113" i="2"/>
  <c r="M49" i="1"/>
  <c r="M11" i="1"/>
  <c r="G58" i="1"/>
  <c r="N49" i="1"/>
  <c r="N58" i="1" s="1"/>
  <c r="N11" i="1"/>
  <c r="G11" i="1"/>
  <c r="M58" i="1" l="1"/>
  <c r="G20" i="1"/>
  <c r="M20" i="1"/>
  <c r="N20" i="1"/>
  <c r="L148" i="2"/>
  <c r="M148" i="2"/>
  <c r="L114" i="2"/>
  <c r="M114" i="2"/>
  <c r="L147" i="2"/>
  <c r="G149" i="2"/>
  <c r="M147" i="2"/>
  <c r="L71" i="2"/>
  <c r="M71" i="2"/>
  <c r="L149" i="2" l="1"/>
  <c r="M149" i="2"/>
  <c r="I69" i="29" l="1"/>
  <c r="H69" i="29"/>
  <c r="E69" i="29"/>
  <c r="J69" i="29"/>
  <c r="D69" i="29"/>
  <c r="D71" i="29" l="1"/>
  <c r="D74" i="29" s="1"/>
  <c r="D75" i="29" s="1"/>
  <c r="D80" i="29"/>
  <c r="D82" i="29"/>
  <c r="D61" i="1" s="1"/>
  <c r="J71" i="29"/>
  <c r="J74" i="29" s="1"/>
  <c r="J75" i="29" s="1"/>
  <c r="J80" i="29"/>
  <c r="F69" i="29"/>
  <c r="K69" i="29"/>
  <c r="E71" i="29"/>
  <c r="E74" i="29" s="1"/>
  <c r="E75" i="29" s="1"/>
  <c r="E80" i="29"/>
  <c r="E82" i="29"/>
  <c r="E61" i="1" s="1"/>
  <c r="I71" i="29"/>
  <c r="I74" i="29" s="1"/>
  <c r="I75" i="29" s="1"/>
  <c r="I80" i="29"/>
  <c r="G69" i="29"/>
  <c r="H71" i="29"/>
  <c r="H74" i="29" s="1"/>
  <c r="H75" i="29" s="1"/>
  <c r="H80" i="29"/>
  <c r="F71" i="29" l="1"/>
  <c r="F74" i="29" s="1"/>
  <c r="F75" i="29" s="1"/>
  <c r="F80" i="29"/>
  <c r="F82" i="29"/>
  <c r="F61" i="1" s="1"/>
  <c r="D22" i="1"/>
  <c r="D23" i="1" s="1"/>
  <c r="G71" i="29"/>
  <c r="G74" i="29" s="1"/>
  <c r="G75" i="29" s="1"/>
  <c r="G80" i="29"/>
  <c r="E22" i="1"/>
  <c r="E23" i="1" s="1"/>
  <c r="K71" i="29"/>
  <c r="K74" i="29" s="1"/>
  <c r="K75" i="29" s="1"/>
  <c r="K80" i="29"/>
  <c r="D84" i="29"/>
  <c r="D62" i="1" s="1"/>
  <c r="D63" i="1" s="1"/>
  <c r="E84" i="29"/>
  <c r="E62" i="1" s="1"/>
  <c r="E41" i="1" s="1"/>
  <c r="E42" i="1" s="1"/>
  <c r="F84" i="29" l="1"/>
  <c r="F62" i="1" s="1"/>
  <c r="F41" i="1" s="1"/>
  <c r="F42" i="1" s="1"/>
  <c r="E63" i="1"/>
  <c r="D41" i="1"/>
  <c r="D42" i="1" s="1"/>
  <c r="F22" i="1"/>
  <c r="F23" i="1" s="1"/>
  <c r="F63" i="1"/>
  <c r="G18" i="15" l="1"/>
  <c r="G23" i="15" l="1"/>
  <c r="G46" i="15" l="1"/>
  <c r="G48" i="15" s="1"/>
  <c r="G50" i="15" l="1"/>
  <c r="G80" i="15"/>
  <c r="G82" i="15" s="1"/>
  <c r="I8" i="27" l="1"/>
  <c r="J8" i="27"/>
  <c r="K8" i="27" l="1"/>
  <c r="G23" i="27" l="1"/>
  <c r="H23" i="27" l="1"/>
  <c r="G42" i="27"/>
  <c r="H54" i="17" l="1"/>
  <c r="I23" i="27"/>
  <c r="I54" i="17"/>
  <c r="I55" i="17" s="1"/>
  <c r="H28" i="17"/>
  <c r="H30" i="17" s="1"/>
  <c r="H33" i="17" s="1"/>
  <c r="G44" i="27"/>
  <c r="G48" i="27" s="1"/>
  <c r="H42" i="27"/>
  <c r="I28" i="17" l="1"/>
  <c r="I30" i="17" s="1"/>
  <c r="I33" i="17" s="1"/>
  <c r="I42" i="27"/>
  <c r="H55" i="17"/>
  <c r="G54" i="27"/>
  <c r="H47" i="27"/>
  <c r="J23" i="27"/>
  <c r="H44" i="27"/>
  <c r="H48" i="27" s="1"/>
  <c r="I47" i="27" s="1"/>
  <c r="K23" i="27" l="1"/>
  <c r="J54" i="17"/>
  <c r="H54" i="27"/>
  <c r="I44" i="27"/>
  <c r="I48" i="27" s="1"/>
  <c r="J47" i="27" s="1"/>
  <c r="J28" i="17"/>
  <c r="J30" i="17" s="1"/>
  <c r="G57" i="27"/>
  <c r="G55" i="27"/>
  <c r="G37" i="17"/>
  <c r="G39" i="17" s="1"/>
  <c r="J42" i="27"/>
  <c r="K54" i="17"/>
  <c r="K55" i="17" s="1"/>
  <c r="J33" i="17" l="1"/>
  <c r="G43" i="17"/>
  <c r="G64" i="17"/>
  <c r="J55" i="17"/>
  <c r="M54" i="17"/>
  <c r="J44" i="27"/>
  <c r="J48" i="27" s="1"/>
  <c r="K47" i="27" s="1"/>
  <c r="H55" i="27"/>
  <c r="H57" i="27"/>
  <c r="H37" i="17"/>
  <c r="H39" i="17" s="1"/>
  <c r="K28" i="17"/>
  <c r="K30" i="17" s="1"/>
  <c r="G62" i="27"/>
  <c r="G66" i="1" s="1"/>
  <c r="G61" i="27"/>
  <c r="G64" i="27" s="1"/>
  <c r="G48" i="29"/>
  <c r="G59" i="27"/>
  <c r="I54" i="27"/>
  <c r="K42" i="27"/>
  <c r="M38" i="1" l="1"/>
  <c r="M33" i="1"/>
  <c r="G32" i="1"/>
  <c r="G38" i="1"/>
  <c r="G36" i="1"/>
  <c r="G34" i="1"/>
  <c r="G33" i="1"/>
  <c r="M34" i="1"/>
  <c r="M36" i="1"/>
  <c r="M29" i="1"/>
  <c r="G29" i="1"/>
  <c r="M32" i="1"/>
  <c r="M31" i="1"/>
  <c r="M35" i="1"/>
  <c r="G31" i="1"/>
  <c r="G35" i="1"/>
  <c r="G37" i="1"/>
  <c r="M37" i="1"/>
  <c r="G30" i="1"/>
  <c r="M30" i="1"/>
  <c r="J54" i="27"/>
  <c r="I55" i="27"/>
  <c r="I57" i="27"/>
  <c r="I37" i="17"/>
  <c r="I39" i="17" s="1"/>
  <c r="M55" i="17"/>
  <c r="K33" i="17"/>
  <c r="H43" i="17"/>
  <c r="H85" i="17" s="1"/>
  <c r="H64" i="17"/>
  <c r="K44" i="27"/>
  <c r="K48" i="27" s="1"/>
  <c r="K54" i="27" s="1"/>
  <c r="G62" i="17"/>
  <c r="G66" i="27"/>
  <c r="H62" i="27"/>
  <c r="H66" i="1" s="1"/>
  <c r="H48" i="29"/>
  <c r="H61" i="27"/>
  <c r="H64" i="27" s="1"/>
  <c r="H59" i="27"/>
  <c r="G85" i="17"/>
  <c r="L43" i="17"/>
  <c r="G39" i="1" l="1"/>
  <c r="H30" i="1"/>
  <c r="H37" i="1"/>
  <c r="H38" i="1"/>
  <c r="H31" i="1"/>
  <c r="H33" i="1"/>
  <c r="H32" i="1"/>
  <c r="H36" i="1"/>
  <c r="H29" i="1"/>
  <c r="H35" i="1"/>
  <c r="H34" i="1"/>
  <c r="K57" i="27"/>
  <c r="K55" i="27"/>
  <c r="K37" i="17"/>
  <c r="K39" i="17" s="1"/>
  <c r="H86" i="29"/>
  <c r="H87" i="29" s="1"/>
  <c r="J57" i="27"/>
  <c r="J55" i="27"/>
  <c r="J37" i="17"/>
  <c r="J39" i="17" s="1"/>
  <c r="G69" i="17"/>
  <c r="G65" i="17"/>
  <c r="M39" i="1"/>
  <c r="G86" i="29"/>
  <c r="G87" i="29" s="1"/>
  <c r="L85" i="17"/>
  <c r="H62" i="17"/>
  <c r="H66" i="27"/>
  <c r="I43" i="17"/>
  <c r="I64" i="17"/>
  <c r="I62" i="27"/>
  <c r="I66" i="1" s="1"/>
  <c r="I61" i="27"/>
  <c r="I64" i="27" s="1"/>
  <c r="I48" i="29"/>
  <c r="I59" i="27"/>
  <c r="H65" i="17" l="1"/>
  <c r="H69" i="17"/>
  <c r="L69" i="17"/>
  <c r="K64" i="17"/>
  <c r="K43" i="17"/>
  <c r="K85" i="17" s="1"/>
  <c r="I85" i="17"/>
  <c r="G51" i="29"/>
  <c r="G52" i="29" s="1"/>
  <c r="G54" i="29" s="1"/>
  <c r="G82" i="29" s="1"/>
  <c r="G66" i="17"/>
  <c r="G68" i="17" s="1"/>
  <c r="J61" i="27"/>
  <c r="J64" i="27" s="1"/>
  <c r="J62" i="27"/>
  <c r="J66" i="1" s="1"/>
  <c r="J48" i="29"/>
  <c r="J59" i="27"/>
  <c r="H39" i="1"/>
  <c r="I32" i="1"/>
  <c r="I36" i="1"/>
  <c r="I29" i="1"/>
  <c r="I30" i="1"/>
  <c r="I37" i="1"/>
  <c r="I31" i="1"/>
  <c r="I35" i="1"/>
  <c r="I38" i="1"/>
  <c r="I33" i="1"/>
  <c r="I34" i="1"/>
  <c r="J64" i="17"/>
  <c r="J43" i="17"/>
  <c r="J85" i="17" s="1"/>
  <c r="I62" i="17"/>
  <c r="I66" i="27"/>
  <c r="K62" i="27"/>
  <c r="K66" i="1" s="1"/>
  <c r="N35" i="1" s="1"/>
  <c r="K61" i="27"/>
  <c r="K64" i="27" s="1"/>
  <c r="K48" i="29"/>
  <c r="K59" i="27"/>
  <c r="M43" i="17" l="1"/>
  <c r="N36" i="1"/>
  <c r="N33" i="1"/>
  <c r="K62" i="17"/>
  <c r="K66" i="27"/>
  <c r="K31" i="1"/>
  <c r="K34" i="1"/>
  <c r="K29" i="1"/>
  <c r="K37" i="1"/>
  <c r="K36" i="1"/>
  <c r="K33" i="1"/>
  <c r="K38" i="1"/>
  <c r="K32" i="1"/>
  <c r="K35" i="1"/>
  <c r="K30" i="1"/>
  <c r="J62" i="17"/>
  <c r="J66" i="27"/>
  <c r="I86" i="29"/>
  <c r="I87" i="29" s="1"/>
  <c r="M85" i="17"/>
  <c r="H51" i="29"/>
  <c r="H52" i="29" s="1"/>
  <c r="H54" i="29" s="1"/>
  <c r="H82" i="29" s="1"/>
  <c r="H66" i="17"/>
  <c r="H68" i="17" s="1"/>
  <c r="H87" i="17" s="1"/>
  <c r="J35" i="1"/>
  <c r="J38" i="1"/>
  <c r="J36" i="1"/>
  <c r="J32" i="1"/>
  <c r="J34" i="1"/>
  <c r="J30" i="1"/>
  <c r="J29" i="1"/>
  <c r="J31" i="1"/>
  <c r="J37" i="1"/>
  <c r="J33" i="1"/>
  <c r="N30" i="1"/>
  <c r="N34" i="1"/>
  <c r="J86" i="29"/>
  <c r="J87" i="29" s="1"/>
  <c r="N37" i="1"/>
  <c r="L68" i="17"/>
  <c r="G87" i="17"/>
  <c r="K86" i="29"/>
  <c r="K87" i="29" s="1"/>
  <c r="N32" i="1"/>
  <c r="I39" i="1"/>
  <c r="N38" i="1"/>
  <c r="I65" i="17"/>
  <c r="I69" i="17"/>
  <c r="G84" i="29"/>
  <c r="N29" i="1"/>
  <c r="N31" i="1"/>
  <c r="K65" i="17" l="1"/>
  <c r="K69" i="17"/>
  <c r="I51" i="29"/>
  <c r="I52" i="29" s="1"/>
  <c r="I54" i="29" s="1"/>
  <c r="I82" i="29" s="1"/>
  <c r="I66" i="17"/>
  <c r="I68" i="17" s="1"/>
  <c r="I87" i="17" s="1"/>
  <c r="G88" i="29"/>
  <c r="G89" i="29" s="1"/>
  <c r="G59" i="1" s="1"/>
  <c r="L87" i="17"/>
  <c r="G89" i="17"/>
  <c r="H88" i="29"/>
  <c r="H89" i="29" s="1"/>
  <c r="H90" i="29" s="1"/>
  <c r="H89" i="17"/>
  <c r="J65" i="17"/>
  <c r="J69" i="17"/>
  <c r="K39" i="1"/>
  <c r="N39" i="1"/>
  <c r="J39" i="1"/>
  <c r="H84" i="29"/>
  <c r="M69" i="17" l="1"/>
  <c r="M59" i="1"/>
  <c r="M21" i="1"/>
  <c r="G21" i="1"/>
  <c r="H62" i="1"/>
  <c r="L89" i="17"/>
  <c r="G90" i="29"/>
  <c r="G62" i="1" s="1"/>
  <c r="G61" i="1"/>
  <c r="H61" i="1"/>
  <c r="H60" i="1"/>
  <c r="I88" i="29"/>
  <c r="I89" i="29" s="1"/>
  <c r="I90" i="29" s="1"/>
  <c r="I89" i="17"/>
  <c r="K51" i="29"/>
  <c r="K52" i="29" s="1"/>
  <c r="K54" i="29" s="1"/>
  <c r="K82" i="29" s="1"/>
  <c r="K66" i="17"/>
  <c r="K68" i="17" s="1"/>
  <c r="J51" i="29"/>
  <c r="J52" i="29" s="1"/>
  <c r="J54" i="29" s="1"/>
  <c r="J82" i="29" s="1"/>
  <c r="J66" i="17"/>
  <c r="J68" i="17" s="1"/>
  <c r="J87" i="17" s="1"/>
  <c r="H59" i="1"/>
  <c r="I84" i="29"/>
  <c r="I61" i="1" l="1"/>
  <c r="I22" i="1" s="1"/>
  <c r="I59" i="1"/>
  <c r="I21" i="1" s="1"/>
  <c r="G60" i="1"/>
  <c r="M40" i="1" s="1"/>
  <c r="H22" i="1"/>
  <c r="H41" i="1"/>
  <c r="M68" i="17"/>
  <c r="K87" i="17"/>
  <c r="M61" i="1"/>
  <c r="G22" i="1"/>
  <c r="M22" i="1"/>
  <c r="G41" i="1"/>
  <c r="J88" i="29"/>
  <c r="J89" i="29" s="1"/>
  <c r="J90" i="29" s="1"/>
  <c r="J89" i="17"/>
  <c r="M41" i="1"/>
  <c r="M62" i="1"/>
  <c r="H40" i="1"/>
  <c r="H21" i="1"/>
  <c r="K84" i="29"/>
  <c r="I62" i="1"/>
  <c r="J84" i="29"/>
  <c r="I60" i="1"/>
  <c r="H63" i="1"/>
  <c r="J62" i="1" l="1"/>
  <c r="J59" i="1"/>
  <c r="J21" i="1" s="1"/>
  <c r="I23" i="1"/>
  <c r="I41" i="1"/>
  <c r="M23" i="1"/>
  <c r="G23" i="1"/>
  <c r="M42" i="1"/>
  <c r="M60" i="1"/>
  <c r="M63" i="1" s="1"/>
  <c r="I40" i="1"/>
  <c r="G40" i="1"/>
  <c r="G42" i="1" s="1"/>
  <c r="J61" i="1"/>
  <c r="J22" i="1" s="1"/>
  <c r="J60" i="1"/>
  <c r="G63" i="1"/>
  <c r="K88" i="29"/>
  <c r="K89" i="29" s="1"/>
  <c r="K59" i="1" s="1"/>
  <c r="N59" i="1" s="1"/>
  <c r="K89" i="17"/>
  <c r="M89" i="17" s="1"/>
  <c r="H23" i="1"/>
  <c r="I63" i="1"/>
  <c r="M87" i="17"/>
  <c r="H42" i="1"/>
  <c r="J63" i="1" l="1"/>
  <c r="I42" i="1"/>
  <c r="J40" i="1"/>
  <c r="J23" i="1"/>
  <c r="J41" i="1"/>
  <c r="K90" i="29"/>
  <c r="K61" i="1"/>
  <c r="K21" i="1"/>
  <c r="N21" i="1"/>
  <c r="J42" i="1" l="1"/>
  <c r="K22" i="1"/>
  <c r="K23" i="1" s="1"/>
  <c r="N61" i="1"/>
  <c r="N22" i="1"/>
  <c r="K60" i="1"/>
  <c r="K62" i="1"/>
  <c r="N62" i="1" s="1"/>
  <c r="N23" i="1" l="1"/>
  <c r="K41" i="1"/>
  <c r="N41" i="1"/>
  <c r="N60" i="1"/>
  <c r="N63" i="1" s="1"/>
  <c r="K40" i="1"/>
  <c r="K63" i="1"/>
  <c r="N40" i="1"/>
  <c r="K42" i="1" l="1"/>
  <c r="N42" i="1"/>
</calcChain>
</file>

<file path=xl/sharedStrings.xml><?xml version="1.0" encoding="utf-8"?>
<sst xmlns="http://schemas.openxmlformats.org/spreadsheetml/2006/main" count="1344" uniqueCount="610">
  <si>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</si>
  <si>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</si>
  <si>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</si>
  <si>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</si>
  <si>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</si>
  <si>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</si>
  <si>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</si>
  <si>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</si>
  <si>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</si>
  <si>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</si>
  <si>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</si>
  <si>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</si>
  <si>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</si>
  <si>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</si>
  <si>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</si>
  <si>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</si>
  <si>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</si>
  <si>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</si>
  <si>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</si>
  <si>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</si>
  <si>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</si>
  <si>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</si>
  <si>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</si>
  <si>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</si>
  <si>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</si>
  <si>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</si>
  <si>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</si>
  <si>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</si>
  <si>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</si>
  <si>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</si>
  <si>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</si>
  <si>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</si>
  <si>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</si>
  <si>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</si>
  <si>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</si>
  <si>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</si>
  <si>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</si>
  <si>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</si>
  <si>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</si>
  <si>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</si>
  <si>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</si>
  <si>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</si>
  <si>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</si>
  <si>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</si>
  <si>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</si>
  <si>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</si>
  <si>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</si>
  <si>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</si>
  <si>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</si>
  <si>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</si>
  <si>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</si>
  <si>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</si>
  <si>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</si>
  <si>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</si>
  <si>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</si>
  <si>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</si>
  <si>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</si>
  <si>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</si>
  <si>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</si>
  <si>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</si>
  <si>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</si>
  <si>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</si>
  <si>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</si>
  <si>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</si>
  <si>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</si>
  <si>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</si>
  <si>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</si>
  <si>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</si>
  <si>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</si>
  <si>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</si>
  <si>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</si>
  <si>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</si>
  <si>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</si>
  <si>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</si>
  <si>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</si>
  <si>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</si>
  <si>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</si>
  <si>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</si>
  <si>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</si>
  <si>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</si>
  <si>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</si>
  <si>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</si>
  <si>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</si>
  <si>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</si>
  <si>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</si>
  <si>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</si>
  <si>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</si>
  <si>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</si>
  <si>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</si>
  <si>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</si>
  <si>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</si>
  <si>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</si>
  <si>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</si>
  <si>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</si>
  <si>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</si>
  <si>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</si>
  <si>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</si>
  <si>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</si>
  <si>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</si>
  <si>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</si>
  <si>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</si>
  <si>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</si>
  <si>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</si>
  <si>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</si>
  <si>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</si>
  <si>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</si>
  <si>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</si>
  <si>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</si>
  <si>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</si>
  <si>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</si>
  <si>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</si>
  <si>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</si>
  <si>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</si>
  <si>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</si>
  <si>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</si>
  <si>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</si>
  <si>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</si>
  <si>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</si>
  <si>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</si>
  <si>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</si>
  <si>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</si>
  <si>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</si>
  <si>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</si>
  <si>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</si>
  <si>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</si>
  <si>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</si>
  <si>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</si>
  <si>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</si>
  <si>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</si>
  <si>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</si>
  <si>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</si>
  <si>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</si>
  <si>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</si>
  <si>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</si>
  <si>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</si>
  <si>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</si>
  <si>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</si>
  <si>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</si>
  <si>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</si>
  <si>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</si>
  <si>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</si>
  <si>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</si>
  <si>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</si>
  <si>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</si>
  <si>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</si>
  <si>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</si>
  <si>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</si>
  <si>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</si>
  <si>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</si>
  <si>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</si>
  <si>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</si>
  <si>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</si>
  <si>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</si>
  <si>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</si>
  <si>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</si>
  <si>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</si>
  <si>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</si>
  <si>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</si>
  <si>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</si>
  <si>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</si>
  <si>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</si>
  <si>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</si>
  <si>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</si>
  <si>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</si>
  <si>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</si>
  <si>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</si>
  <si>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</si>
  <si>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</si>
  <si>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</si>
  <si>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</si>
  <si>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</si>
  <si>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</si>
  <si>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</si>
  <si>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</si>
  <si>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</si>
  <si>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</si>
  <si>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</si>
  <si>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</si>
  <si>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</si>
  <si>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</si>
  <si>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</si>
  <si>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</si>
  <si>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</si>
  <si>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</si>
  <si>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</si>
  <si>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</si>
  <si>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</si>
  <si>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</si>
  <si>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</si>
  <si>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</si>
  <si>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</si>
  <si>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</si>
  <si>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</si>
  <si>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</si>
  <si>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</si>
  <si>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</si>
  <si>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</si>
  <si>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</si>
  <si>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</si>
  <si>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</si>
  <si>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</si>
  <si>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</si>
  <si>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</si>
  <si>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</si>
  <si>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</si>
  <si>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</si>
  <si>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</si>
  <si>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</si>
  <si>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</si>
  <si>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</si>
  <si>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</si>
  <si>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</si>
  <si>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</si>
  <si>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</si>
  <si>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</si>
  <si>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</si>
  <si>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</si>
  <si>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</si>
  <si>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</si>
  <si>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</si>
  <si>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</si>
  <si>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</si>
  <si>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</si>
  <si>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</si>
  <si>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</si>
  <si>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</si>
  <si>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</si>
  <si>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</si>
  <si>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</si>
  <si>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</si>
  <si>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</si>
  <si>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</si>
  <si>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</si>
  <si>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</si>
  <si>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</si>
  <si>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</si>
  <si>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</si>
  <si>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</si>
  <si>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</si>
  <si>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</si>
  <si>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</si>
  <si>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</si>
  <si>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</si>
  <si>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</si>
  <si>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</si>
  <si>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</si>
  <si>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</si>
  <si>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</si>
  <si>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</si>
  <si>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</si>
  <si>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</si>
  <si>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</si>
  <si>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</si>
  <si>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</si>
  <si>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</si>
  <si>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</si>
  <si>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</si>
  <si>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</si>
  <si>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</si>
  <si>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</si>
  <si>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</si>
  <si>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</si>
  <si>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</si>
  <si>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</si>
  <si>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</si>
  <si>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</si>
  <si>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</si>
  <si>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</si>
  <si>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</si>
  <si>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</si>
  <si>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</si>
  <si>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</si>
  <si>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</si>
  <si>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</si>
  <si>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</si>
  <si>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</si>
  <si>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</si>
  <si>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</si>
  <si>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</si>
  <si>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</si>
  <si>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</si>
  <si>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</si>
  <si>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</si>
  <si>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</si>
  <si>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</si>
  <si>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</si>
  <si>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</si>
  <si>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</si>
  <si>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</si>
  <si>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</si>
  <si>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</si>
  <si>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</si>
  <si>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</si>
  <si>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</si>
  <si>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</si>
  <si>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</si>
  <si>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</si>
  <si>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</si>
  <si>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</si>
  <si>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</si>
  <si>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</si>
  <si>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</si>
  <si>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</si>
  <si>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</si>
  <si>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</si>
  <si>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</si>
  <si>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</si>
  <si>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</si>
  <si>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</si>
  <si>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</si>
  <si>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</si>
  <si>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</si>
  <si>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</si>
  <si>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</si>
  <si>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</si>
  <si>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</si>
  <si>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</si>
  <si>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</si>
  <si>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</si>
  <si>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</si>
  <si>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</si>
  <si>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</si>
  <si>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</si>
  <si>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</si>
  <si>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</si>
  <si>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</si>
  <si>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</si>
  <si>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</si>
  <si>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</si>
  <si>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</si>
  <si>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</si>
  <si>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</si>
  <si>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</si>
  <si>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</si>
  <si>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</si>
  <si>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</si>
  <si>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</si>
  <si>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</si>
  <si>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</si>
  <si>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</si>
  <si>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</si>
  <si>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</si>
  <si>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</si>
  <si>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</si>
  <si>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</si>
  <si>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</si>
  <si>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</si>
  <si>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</si>
  <si>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</si>
  <si>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</si>
  <si>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</si>
  <si>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</si>
  <si>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4. Other adjustment (Overwrite)</t>
  </si>
  <si>
    <t>5. Other adjustment (Overwrite)</t>
  </si>
  <si>
    <t>6. Other adjustment (Overwrite)</t>
  </si>
  <si>
    <t>7. Other adjustment (Overwrite)</t>
  </si>
  <si>
    <t>8. Other adjustment (Overwrite)</t>
  </si>
  <si>
    <t>9. Other adjustment (Overwrite)</t>
  </si>
  <si>
    <t>4. [Insert adjustment as necessary]</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</si>
  <si>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</si>
  <si>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</si>
  <si>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</si>
  <si>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</si>
  <si>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</si>
  <si>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</si>
  <si>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</si>
  <si>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</si>
  <si>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</si>
  <si>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</si>
  <si>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</si>
  <si>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</si>
  <si>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</si>
  <si>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</si>
  <si>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</si>
  <si>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</si>
  <si>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</si>
  <si>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</si>
  <si>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</si>
  <si>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</si>
  <si>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</si>
  <si>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</si>
  <si>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</si>
  <si>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</si>
  <si>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</si>
  <si>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</si>
  <si>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</si>
  <si>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</si>
  <si>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</si>
  <si>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</si>
  <si>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</si>
  <si>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</si>
  <si>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</si>
  <si>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</si>
  <si>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</si>
  <si>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</si>
  <si>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</si>
  <si>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</si>
  <si>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</si>
  <si>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</si>
  <si>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</si>
  <si>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</si>
  <si>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</si>
  <si>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</si>
  <si>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</si>
  <si>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</si>
  <si>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</si>
  <si>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</si>
  <si>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</si>
  <si>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</si>
  <si>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</si>
  <si>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</si>
  <si>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</si>
  <si>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</si>
  <si>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</si>
  <si>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</si>
  <si>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</si>
  <si>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</si>
  <si>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</si>
  <si>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</si>
  <si>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</si>
  <si>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</si>
  <si>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</si>
  <si>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</si>
  <si>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</si>
  <si>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</si>
  <si>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</si>
  <si>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</si>
  <si>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</si>
  <si>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</si>
  <si>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</si>
  <si>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</si>
  <si>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</si>
  <si>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</si>
  <si>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</si>
  <si>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</si>
  <si>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</si>
  <si>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</si>
  <si>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</si>
  <si>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</si>
  <si>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</si>
  <si>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</si>
  <si>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</si>
  <si>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</si>
  <si>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</si>
  <si>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</si>
  <si>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</si>
  <si>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</si>
  <si>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</si>
  <si>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</si>
  <si>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</si>
  <si>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</si>
  <si>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</si>
  <si>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</si>
  <si>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</si>
  <si>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</si>
  <si>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</si>
  <si>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</si>
  <si>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</si>
  <si>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</si>
  <si>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</si>
  <si>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</si>
  <si>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</si>
  <si>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</si>
  <si>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</si>
  <si>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</si>
  <si>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</si>
  <si>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</si>
  <si>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</si>
  <si>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</si>
  <si>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</si>
  <si>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</si>
  <si>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</si>
  <si>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</si>
  <si>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</si>
  <si>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</si>
  <si>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</si>
  <si>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</si>
  <si>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</si>
  <si>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</si>
  <si>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</si>
  <si>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</si>
  <si>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</si>
  <si>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</si>
  <si>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</si>
  <si>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</si>
  <si>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</si>
  <si>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</si>
  <si>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</si>
  <si>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</si>
  <si>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</si>
  <si>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</si>
  <si>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</si>
  <si>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</si>
  <si>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</si>
  <si>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</si>
  <si>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</si>
  <si>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</si>
  <si>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</si>
  <si>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</si>
  <si>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</si>
  <si>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</si>
  <si>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</si>
  <si>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</si>
  <si>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</si>
  <si>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</si>
  <si>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</si>
  <si>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</si>
  <si>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</si>
  <si>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</si>
  <si>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</si>
  <si>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</si>
  <si>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</si>
  <si>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</si>
  <si>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</si>
  <si>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</si>
  <si>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</si>
  <si>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</si>
  <si>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</si>
  <si>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</si>
  <si>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</si>
  <si>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</si>
  <si>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</si>
  <si>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</si>
  <si>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</si>
  <si>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</si>
  <si>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</si>
  <si>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</si>
  <si>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</si>
  <si>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</si>
  <si>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</si>
  <si>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</si>
  <si>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</si>
  <si>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</si>
  <si>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</si>
  <si>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</si>
  <si>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</si>
  <si>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</si>
  <si>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RPI 3 month lag</t>
  </si>
  <si>
    <t>LIBOR 1 month</t>
  </si>
  <si>
    <t>(Discount)/premium on issue</t>
  </si>
  <si>
    <t>Other amounts due to/(from) group companies</t>
  </si>
  <si>
    <t>R8- Net Debt</t>
  </si>
  <si>
    <t xml:space="preserve">Restricted cash balances - Excluded from the 'Net Debt per Regulatory Definition' per the 2018 RIGs Ofgem consultation and retrospectively removed from 2016 &amp; 2017 </t>
  </si>
  <si>
    <t>RPI 2 month lag</t>
  </si>
  <si>
    <t>Dividend paid not related to Regulated business per WPD methodology</t>
  </si>
  <si>
    <t>DPCR4 residual distribution losses incentive (WPD and SSE owned licencees)</t>
  </si>
  <si>
    <t>Items reported as Cost Recoveries in the RRP, but Turnover in the Reg Accounts</t>
  </si>
  <si>
    <t>Items reported as cost recoveries in the Reg Accounts, but Revenue in the Revenue Return</t>
  </si>
  <si>
    <t>NIA and LCN Tier 2 income adjustments</t>
  </si>
  <si>
    <t>DRS1 revenue Outside Price Control</t>
  </si>
  <si>
    <t>Connections Contributions not treated as revenue Inside/Outside Price Control</t>
  </si>
  <si>
    <t>DRS1 revenue Inside Price Control</t>
  </si>
  <si>
    <t>Profit/Loss on Disposal of Fixed assets reported in RRP (not included above)</t>
  </si>
  <si>
    <t>Capitalised depreciation included in Tangible Fixed Asset Additions in Reg Accounts, but not reported in RRP</t>
  </si>
  <si>
    <t>Adjustments to convert from FRS101 basis in Reg Accounts to UK GAAP basis in RRP (ARO and capitalised interest)</t>
  </si>
  <si>
    <t>Capital items in Reg Accounts, but not in RRP</t>
  </si>
  <si>
    <t>Capital items in RRP, but not in Reg Accounts</t>
  </si>
  <si>
    <t>Regulatory Accounts Income treated as contributions and cost recoveries in RRP</t>
  </si>
  <si>
    <t>Cost recoveries treated as operating costs in Regulatory Accounts (and Revenue Return), but analysed as Income in the RIGs</t>
  </si>
  <si>
    <t>Operating cost adjustments in RRP, but not in Reg Accounts</t>
  </si>
  <si>
    <t>Non cash atypical and provision movements included in Reg Accounts, but not in RRP</t>
  </si>
  <si>
    <t>Pension deficit costs reported in RRP, but not in Reg Accounts</t>
  </si>
  <si>
    <t>Pensions prepayment adjustments reported in RRP, but not in Reg Accounts</t>
  </si>
  <si>
    <t>Reporting differences between Reg Accounts and RRP on ongoing pension charges</t>
  </si>
  <si>
    <t>Other pensions adjustments</t>
  </si>
  <si>
    <t>NIA / LCNF capital contributions adjustment</t>
  </si>
  <si>
    <t>Other, including rounding</t>
  </si>
  <si>
    <t>Non Activity Based costs - Includes Business Rates &amp; Transmission Connection Point Charges incurred</t>
  </si>
  <si>
    <t>Other Non Activity Based costs - Includes Pensions Established Deficit Repair Payments</t>
  </si>
  <si>
    <t>Activity based Costs outside Price Control - Includes connections</t>
  </si>
  <si>
    <t>Other agreed Totex adjustments</t>
  </si>
  <si>
    <t>Pensions prepayment (See Appendices within RFPR commentary documentation)</t>
  </si>
  <si>
    <t>Rail Electrification (See Appendices within RFRS commentary documentation)</t>
  </si>
  <si>
    <t>FRS101 adjustment - ARO</t>
  </si>
  <si>
    <t>Interest capitalised</t>
  </si>
  <si>
    <t>Interest associated to Long term loans (Not for benefit of regulated business or distribution in nature)</t>
  </si>
  <si>
    <t>RPI true up</t>
  </si>
  <si>
    <t>DPCR5 legacy revenue adjustment</t>
  </si>
  <si>
    <t>Revenue profiling adjustment</t>
  </si>
  <si>
    <t>Enduring value adjustments</t>
  </si>
  <si>
    <t>R1-RoRE</t>
  </si>
  <si>
    <t>Data</t>
  </si>
  <si>
    <t>Cells D22, E22, D23 and E23:a change has been made to automate the calculation of Tax on incentives and Tax on IQI (rows 22 and 23), which in the March version published were captured within the headings ‘Incentive revenue adjustment’ and ‘Remove tax charge on incentives’. As a result of the automation of this calculation within the spreadsheet, the historic values have been updated – in the March 2019 version the total for these adjustments was £2.5m and £2.7m for 2015/16 and 2016/17; the total for the equivalent values in rows 22 and 23 is now £2.6m and £2.8m for 2015/16 and 2016/17 respectively.</t>
  </si>
  <si>
    <t xml:space="preserve">Inserted new row above row 26 and linked new row 26 to 'R8a - Net Debt input' row 284, amended in row 42 (previously 41) to pick sum from row 26, as directed by Ofgem 14/06/2019. </t>
  </si>
  <si>
    <t>May 2019 Publication</t>
  </si>
  <si>
    <t>2019 performance has yet to be finalised by Ofgem and is therefore subject to change.</t>
  </si>
  <si>
    <r>
      <t xml:space="preserve">At the time of submission Electricity Distribution targets had not been finalised/confirmed by Ofgem for the final four years of ED1 (2020 through to and 2023). Targets for forecast years reflect those noted within Ofgems TTC consultation document. </t>
    </r>
    <r>
      <rPr>
        <u/>
        <sz val="10"/>
        <color theme="8" tint="-0.249977111117893"/>
        <rFont val="Verdana"/>
        <family val="2"/>
      </rPr>
      <t>https://www.ofgem.gov.uk/publications-and-updates/electricity-time-connect-incentive-targets-consultation-regulatory-years-201920-202021-202122-and-202223</t>
    </r>
  </si>
  <si>
    <t>Specified Street Works</t>
  </si>
  <si>
    <t>Appendix 2</t>
  </si>
  <si>
    <t>The 2017 tax return was re-filed in March 2019 with the 2018 tax return. As a result, values in cell E12 have been updated to reflect this latest CT600 submission, as required by the RIGs (2017/18 submission £11.548m: 2018/19 submissionL £11.399m).</t>
  </si>
  <si>
    <t>Values in cell D28 and E28 have been updated slightly to align with the latest PCFM (2017/18 submission: £0.412m and £0.421m; 2018/19 submissionL £0.416m and £0.430m respectively)</t>
  </si>
  <si>
    <t>Values in cells D33 and E33 have updated as incorrect values entered in error in the 2017/18 submission (2017/18 submission: £-2.0m and -£0.9m; 2018/19 submission: £0.1m and -£0.1m respectively).</t>
  </si>
  <si>
    <t xml:space="preserve">Formatting amended in cells M10 to N23 and cells M29 to N42 to percentages, as directed by Ofgem 14/06/2019. </t>
  </si>
  <si>
    <t xml:space="preserve">Cells E23 and F23 have been updated to include the latest actual RPI data, as required by Mick Watson's email dated 12/06/2019. </t>
  </si>
  <si>
    <t xml:space="preserve">Due to changes in the row headings in this table from the version published by Ofgem in March 2019, and the addition of row 11, historic values in rows 9 and 10 have not been linked to the 2017/18 submission of the RFPR but rather linked to the Revenue returns which will be submitted in July 2019. This ensures that the total value in row 12 is consistent with the 2017/18 version of the RFPR. Further, as row 23 has been added into the 2018/19 version of the RFPR tables, historic values were not included in the 2017/18 submission. </t>
  </si>
  <si>
    <t xml:space="preserve">Note that as row 35 “Memo: Net interest (RIIO-1) Definition that relates to non-cash principal inflation accretion on bonds and loans” has been added into the 2018/19 version of the RFPR tables, historic values were not included in the 2017/18 submission. </t>
  </si>
  <si>
    <t>R8 - Net debt</t>
  </si>
  <si>
    <t>Note that as row 8 has been added into the 2018/19 version of the RFPR tables, historic values were not included in the 2017/18 submission</t>
  </si>
  <si>
    <t>R8a - Net debt input</t>
  </si>
  <si>
    <t xml:space="preserve">Ofgem requested in May 2019 that restricted cash balances should be reported within row 18 and therefore be broken out from row 13 ‘Cash at bank and in hand (-ve)’. Therefore values in rows 13 and 18 differ from values in the 2017/18 RFPR submission, although the total in row 19 remains unchanged. </t>
  </si>
  <si>
    <t>In the 2018/19 RFPR RIGs, unamortised issue costs are now required to be included within section B having previously being required to be excluded per the 2017/18 RFPR RIGs. Therefore, values in rows 25-27 have been restated from the 2017/18 RFPR submission to meet this change in requirement. Unamortised issue costs are now subsequently removed within row 285 which has therefore also been updated from the 2017/18 submission.</t>
  </si>
  <si>
    <t xml:space="preserve">As the RIGs require row 61 to include values from the latest published PCFM, values in row 61 have been updated to reflect the PCFM published as part of the November 2018 Annual Iteration Process.   </t>
  </si>
  <si>
    <t xml:space="preserve">Values in row 72 and 73 have been updated to better reflect the breakdown of the difference between the Tax allowance per the latest published PCFM and the forecast Tax allowance. </t>
  </si>
  <si>
    <t xml:space="preserve">Ofgem has introduced new rows 86 and 88 therefore data in these rows was not included in the R10 – Tax worksheet in the 2017/18 RFPR submission. </t>
  </si>
  <si>
    <t>General</t>
  </si>
  <si>
    <t>Note that in the 2017/18 submission, 2018/19 values were forecast values; these have now been updated in the 2018/19 submission with actual values. Similarly, forecast data beyond 2018/19 has been updated in the 2018/19 submission to reflect more recent views of forecast performance.</t>
  </si>
  <si>
    <t xml:space="preserve">As the RIGs require rows 11, 19 and 22  to include values from the latest published PCFM, values in these rows have been updated to reflect the PCFM published as part of the November 2018 Annual Iteration Process.   </t>
  </si>
  <si>
    <t xml:space="preserve">The outcome of the consultation process for the 2018/19 Incentive on Connections Engagement has not yet been concluded. </t>
  </si>
  <si>
    <t>GMP equalisation not in the RRP</t>
  </si>
  <si>
    <t>NOT PUBLISHED</t>
  </si>
</sst>
</file>

<file path=xl/styles.xml><?xml version="1.0" encoding="utf-8"?>
<styleSheet xmlns="http://schemas.openxmlformats.org/spreadsheetml/2006/main" xmlns:mc="http://schemas.openxmlformats.org/markup-compatibility/2006" xmlns:x14ac="http://schemas.microsoft.com/office/spreadsheetml/2009/9/ac" mc:Ignorable="x14ac">
  <numFmts count="188">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s>
  <fonts count="249">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b/>
      <sz val="16"/>
      <name val="CG Omega"/>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b/>
      <sz val="18"/>
      <name val="CG Omega"/>
      <family val="2"/>
    </font>
    <font>
      <u/>
      <sz val="10"/>
      <color theme="8" tint="-0.249977111117893"/>
      <name val="Verdana"/>
      <family val="2"/>
    </font>
  </fonts>
  <fills count="120">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rgb="FFFFFFCC"/>
        <bgColor rgb="FF000000"/>
      </patternFill>
    </fill>
  </fills>
  <borders count="123">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s>
  <cellStyleXfs count="48238">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3" fillId="48" borderId="0" applyBorder="0">
      <alignment vertical="center"/>
    </xf>
    <xf numFmtId="164" fontId="2" fillId="0" borderId="0" applyFont="0" applyFill="0" applyBorder="0" applyAlignment="0" applyProtection="0"/>
    <xf numFmtId="168" fontId="34"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9" fillId="0" borderId="0"/>
    <xf numFmtId="182" fontId="4" fillId="0" borderId="0"/>
    <xf numFmtId="182" fontId="4" fillId="0" borderId="0"/>
    <xf numFmtId="182" fontId="4" fillId="0" borderId="0"/>
    <xf numFmtId="182" fontId="4" fillId="0" borderId="0"/>
    <xf numFmtId="182" fontId="4" fillId="0" borderId="0"/>
    <xf numFmtId="180" fontId="40" fillId="0" borderId="0"/>
    <xf numFmtId="181" fontId="39" fillId="0" borderId="0"/>
    <xf numFmtId="182" fontId="4" fillId="0" borderId="0"/>
    <xf numFmtId="182" fontId="4" fillId="0" borderId="0"/>
    <xf numFmtId="182" fontId="4" fillId="0" borderId="0"/>
    <xf numFmtId="182" fontId="4" fillId="0" borderId="0"/>
    <xf numFmtId="182" fontId="4" fillId="0" borderId="0"/>
    <xf numFmtId="183" fontId="41" fillId="0" borderId="0" applyFont="0" applyFill="0" applyBorder="0" applyAlignment="0" applyProtection="0">
      <protection locked="0"/>
    </xf>
    <xf numFmtId="184" fontId="40" fillId="0" borderId="0">
      <alignment horizontal="right"/>
    </xf>
    <xf numFmtId="185" fontId="40" fillId="46" borderId="0"/>
    <xf numFmtId="186" fontId="40" fillId="46" borderId="0"/>
    <xf numFmtId="187" fontId="40" fillId="46" borderId="0"/>
    <xf numFmtId="188" fontId="40"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2" fillId="0" borderId="0" applyNumberFormat="0" applyFont="0" applyFill="0" applyBorder="0" applyAlignment="0" applyProtection="0"/>
    <xf numFmtId="191" fontId="4" fillId="0" borderId="0" applyFont="0" applyFill="0" applyBorder="0" applyAlignment="0" applyProtection="0"/>
    <xf numFmtId="180" fontId="37"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3" fillId="0" borderId="0">
      <alignment horizontal="right" vertical="center"/>
    </xf>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18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5" fillId="0" borderId="0" applyFont="0" applyFill="0" applyBorder="0" applyAlignment="0" applyProtection="0"/>
    <xf numFmtId="38" fontId="45" fillId="0" borderId="0" applyFont="0" applyFill="0" applyBorder="0" applyAlignment="0" applyProtection="0"/>
    <xf numFmtId="180" fontId="44" fillId="0" borderId="0"/>
    <xf numFmtId="180" fontId="4" fillId="0" borderId="0" applyFont="0" applyFill="0" applyBorder="0" applyAlignment="0" applyProtection="0"/>
    <xf numFmtId="180" fontId="44" fillId="0" borderId="0"/>
    <xf numFmtId="180" fontId="4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applyFont="0" applyFill="0" applyBorder="0" applyAlignment="0" applyProtection="0"/>
    <xf numFmtId="0" fontId="44"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5" fillId="0" borderId="0" applyFont="0" applyFill="0" applyBorder="0" applyAlignment="0" applyProtection="0"/>
    <xf numFmtId="193" fontId="4" fillId="0" borderId="0" applyFont="0" applyFill="0" applyBorder="0" applyAlignment="0" applyProtection="0"/>
    <xf numFmtId="180" fontId="39"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4" fillId="0" borderId="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9"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9"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4" fillId="0" borderId="0"/>
    <xf numFmtId="180" fontId="37" fillId="0" borderId="0"/>
    <xf numFmtId="180" fontId="37" fillId="0" borderId="0"/>
    <xf numFmtId="38" fontId="45" fillId="0" borderId="0" applyAlignment="0" applyProtection="0"/>
    <xf numFmtId="38" fontId="45" fillId="0" borderId="0" applyFont="0" applyBorder="0" applyAlignment="0" applyProtection="0"/>
    <xf numFmtId="196" fontId="4" fillId="0" borderId="0" applyFont="0" applyFill="0" applyBorder="0" applyProtection="0">
      <alignment vertical="top"/>
    </xf>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4" fillId="0" borderId="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38" fontId="36"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6" fillId="0" borderId="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4" fillId="0" borderId="0"/>
    <xf numFmtId="197" fontId="4" fillId="0" borderId="0" applyFont="0" applyFill="0" applyBorder="0" applyAlignment="0" applyProtection="0"/>
    <xf numFmtId="180" fontId="39"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9"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4" fillId="0" borderId="0"/>
    <xf numFmtId="180" fontId="44" fillId="0" borderId="0"/>
    <xf numFmtId="180" fontId="4" fillId="0" borderId="0"/>
    <xf numFmtId="0" fontId="4" fillId="0" borderId="0" applyFont="0" applyFill="0" applyBorder="0" applyAlignment="0" applyProtection="0"/>
    <xf numFmtId="180" fontId="44" fillId="0" borderId="0"/>
    <xf numFmtId="38" fontId="36" fillId="0" borderId="0" applyAlignment="0" applyProtection="0"/>
    <xf numFmtId="180" fontId="4" fillId="0" borderId="0"/>
    <xf numFmtId="180" fontId="4" fillId="0" borderId="0"/>
    <xf numFmtId="38" fontId="45" fillId="0" borderId="0" applyFont="0" applyFill="0" applyBorder="0" applyAlignment="0" applyProtection="0"/>
    <xf numFmtId="38" fontId="45" fillId="0" borderId="0" applyFont="0" applyFill="0" applyBorder="0" applyAlignment="0" applyProtection="0"/>
    <xf numFmtId="201" fontId="4" fillId="0" borderId="0" applyFont="0" applyFill="0" applyBorder="0" applyAlignment="0" applyProtection="0"/>
    <xf numFmtId="180" fontId="39"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9"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6" fillId="0" borderId="0"/>
    <xf numFmtId="180" fontId="46" fillId="0" borderId="0"/>
    <xf numFmtId="180" fontId="46" fillId="0" borderId="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4" fillId="0" borderId="0"/>
    <xf numFmtId="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80" fontId="47" fillId="0" borderId="0" applyNumberFormat="0" applyFill="0" applyBorder="0" applyProtection="0">
      <alignment horizontal="left"/>
    </xf>
    <xf numFmtId="180" fontId="48"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6" fillId="0" borderId="0"/>
    <xf numFmtId="180" fontId="46" fillId="0" borderId="0"/>
    <xf numFmtId="204" fontId="49" fillId="0" borderId="0"/>
    <xf numFmtId="180" fontId="37" fillId="0" borderId="0"/>
    <xf numFmtId="180" fontId="37" fillId="0" borderId="0"/>
    <xf numFmtId="180" fontId="46" fillId="0" borderId="0"/>
    <xf numFmtId="180" fontId="46" fillId="0" borderId="0"/>
    <xf numFmtId="180" fontId="46" fillId="0" borderId="0"/>
    <xf numFmtId="0" fontId="4" fillId="0" borderId="0" applyFont="0" applyFill="0" applyBorder="0" applyAlignment="0" applyProtection="0"/>
    <xf numFmtId="180" fontId="4" fillId="0" borderId="0"/>
    <xf numFmtId="180" fontId="44" fillId="0" borderId="0"/>
    <xf numFmtId="204" fontId="4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50" fillId="0" borderId="0" applyFont="0" applyFill="0" applyBorder="0" applyAlignment="0" applyProtection="0"/>
    <xf numFmtId="206" fontId="37" fillId="0" borderId="0" applyFont="0" applyFill="0" applyBorder="0" applyAlignment="0" applyProtection="0"/>
    <xf numFmtId="207" fontId="51" fillId="0" borderId="0"/>
    <xf numFmtId="208" fontId="37" fillId="0" borderId="0" applyFont="0" applyFill="0" applyBorder="0" applyAlignment="0" applyProtection="0"/>
    <xf numFmtId="209" fontId="50"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9" fillId="0" borderId="0"/>
    <xf numFmtId="211" fontId="51" fillId="0" borderId="0"/>
    <xf numFmtId="211" fontId="52" fillId="0" borderId="0"/>
    <xf numFmtId="212" fontId="51" fillId="0" borderId="0"/>
    <xf numFmtId="213" fontId="41" fillId="0" borderId="0" applyFont="0" applyFill="0" applyBorder="0" applyAlignment="0" applyProtection="0">
      <protection locked="0"/>
    </xf>
    <xf numFmtId="214" fontId="53" fillId="0" borderId="0"/>
    <xf numFmtId="180" fontId="52" fillId="0" borderId="0"/>
    <xf numFmtId="214" fontId="54"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5"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5"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5"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5"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5" fillId="60" borderId="0" applyNumberFormat="0" applyBorder="0" applyAlignment="0" applyProtection="0"/>
    <xf numFmtId="215" fontId="51" fillId="0" borderId="0"/>
    <xf numFmtId="216" fontId="52" fillId="0" borderId="0"/>
    <xf numFmtId="215" fontId="56" fillId="0" borderId="0"/>
    <xf numFmtId="0" fontId="4" fillId="0" borderId="0"/>
    <xf numFmtId="0" fontId="4" fillId="0" borderId="0"/>
    <xf numFmtId="217" fontId="51"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5"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5"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5" fillId="23"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8" fillId="62"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8" fillId="21"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8" fillId="28"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8" fillId="24" borderId="0" applyNumberFormat="0" applyBorder="0" applyAlignment="0" applyProtection="0"/>
    <xf numFmtId="0" fontId="39"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8"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8"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8"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8" fillId="25" borderId="0" applyNumberFormat="0" applyBorder="0" applyAlignment="0" applyProtection="0"/>
    <xf numFmtId="218" fontId="59" fillId="0" borderId="13">
      <alignment horizontal="centerContinuous"/>
    </xf>
    <xf numFmtId="219" fontId="60" fillId="40" borderId="16">
      <alignment horizontal="center" vertical="center"/>
    </xf>
    <xf numFmtId="210" fontId="41" fillId="0" borderId="0" applyFont="0" applyFill="0" applyBorder="0" applyAlignment="0" applyProtection="0"/>
    <xf numFmtId="180" fontId="41" fillId="0" borderId="0" applyFont="0" applyFill="0" applyBorder="0" applyAlignment="0" applyProtection="0"/>
    <xf numFmtId="204" fontId="61" fillId="0" borderId="0" applyNumberFormat="0" applyFont="0" applyFill="0" applyBorder="0" applyProtection="0">
      <alignment horizontal="center"/>
    </xf>
    <xf numFmtId="220" fontId="62" fillId="0" borderId="0">
      <alignment horizontal="left"/>
    </xf>
    <xf numFmtId="0" fontId="53" fillId="0" borderId="0"/>
    <xf numFmtId="221" fontId="63" fillId="0" borderId="0" applyFont="0" applyFill="0" applyBorder="0" applyAlignment="0" applyProtection="0"/>
    <xf numFmtId="180" fontId="41" fillId="0" borderId="0" applyFont="0" applyFill="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6" fillId="55"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89" fontId="68" fillId="20" borderId="0" applyNumberFormat="0" applyBorder="0" applyAlignment="0" applyProtection="0"/>
    <xf numFmtId="222" fontId="69" fillId="75" borderId="10" applyNumberFormat="0" applyBorder="0" applyAlignment="0">
      <alignment horizontal="centerContinuous" vertical="center"/>
      <protection hidden="1"/>
    </xf>
    <xf numFmtId="1" fontId="70"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1" fillId="77" borderId="0">
      <alignment horizontal="left"/>
    </xf>
    <xf numFmtId="224" fontId="72" fillId="0" borderId="0" applyFill="0" applyBorder="0" applyAlignment="0" applyProtection="0"/>
    <xf numFmtId="2" fontId="73" fillId="50" borderId="15" applyProtection="0">
      <alignment horizontal="left"/>
      <protection locked="0"/>
    </xf>
    <xf numFmtId="180" fontId="60" fillId="40" borderId="0" applyNumberFormat="0" applyFont="0" applyAlignment="0">
      <alignment horizontal="center"/>
    </xf>
    <xf numFmtId="225" fontId="74" fillId="40" borderId="0" applyFont="0" applyFill="0" applyBorder="0" applyAlignment="0" applyProtection="0"/>
    <xf numFmtId="180" fontId="75" fillId="0" borderId="0" applyNumberFormat="0" applyFill="0" applyBorder="0" applyAlignment="0" applyProtection="0"/>
    <xf numFmtId="180" fontId="76" fillId="0" borderId="13" applyNumberFormat="0" applyFill="0" applyAlignment="0" applyProtection="0"/>
    <xf numFmtId="180" fontId="51" fillId="0" borderId="0"/>
    <xf numFmtId="226" fontId="77" fillId="45" borderId="0" applyFont="0" applyFill="0" applyBorder="0" applyAlignment="0" applyProtection="0"/>
    <xf numFmtId="227" fontId="39" fillId="0" borderId="0" applyAlignment="0" applyProtection="0"/>
    <xf numFmtId="49" fontId="49" fillId="0" borderId="0" applyNumberFormat="0" applyAlignment="0" applyProtection="0">
      <alignment horizontal="left"/>
    </xf>
    <xf numFmtId="49" fontId="78" fillId="0" borderId="17" applyNumberFormat="0" applyAlignment="0" applyProtection="0">
      <alignment horizontal="left" wrapText="1"/>
    </xf>
    <xf numFmtId="49" fontId="79" fillId="0" borderId="0" applyAlignment="0" applyProtection="0">
      <alignment horizontal="left"/>
    </xf>
    <xf numFmtId="228" fontId="37" fillId="0" borderId="0" applyFont="0" applyFill="0" applyBorder="0" applyAlignment="0" applyProtection="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1" fillId="0" borderId="0"/>
    <xf numFmtId="229" fontId="39" fillId="0" borderId="0"/>
    <xf numFmtId="230" fontId="39" fillId="0" borderId="0"/>
    <xf numFmtId="231" fontId="39" fillId="0" borderId="0"/>
    <xf numFmtId="229" fontId="39" fillId="0" borderId="12"/>
    <xf numFmtId="230" fontId="39" fillId="0" borderId="12"/>
    <xf numFmtId="230" fontId="39" fillId="0" borderId="12"/>
    <xf numFmtId="231" fontId="39" fillId="0" borderId="12"/>
    <xf numFmtId="231" fontId="39" fillId="0" borderId="12"/>
    <xf numFmtId="229" fontId="39" fillId="0" borderId="12"/>
    <xf numFmtId="229" fontId="39" fillId="0" borderId="12"/>
    <xf numFmtId="229" fontId="39" fillId="0" borderId="0"/>
    <xf numFmtId="232" fontId="39" fillId="0" borderId="0"/>
    <xf numFmtId="180" fontId="41" fillId="0" borderId="0" applyFill="0" applyBorder="0" applyAlignment="0"/>
    <xf numFmtId="233" fontId="39" fillId="0" borderId="0"/>
    <xf numFmtId="234" fontId="39" fillId="0" borderId="0"/>
    <xf numFmtId="232" fontId="39" fillId="0" borderId="12"/>
    <xf numFmtId="233" fontId="39" fillId="0" borderId="12"/>
    <xf numFmtId="233" fontId="39" fillId="0" borderId="12"/>
    <xf numFmtId="234" fontId="39" fillId="0" borderId="12"/>
    <xf numFmtId="234" fontId="39" fillId="0" borderId="12"/>
    <xf numFmtId="232" fontId="39" fillId="0" borderId="12"/>
    <xf numFmtId="232" fontId="39" fillId="0" borderId="12"/>
    <xf numFmtId="232" fontId="39" fillId="0" borderId="0"/>
    <xf numFmtId="235" fontId="39" fillId="0" borderId="0">
      <alignment horizontal="right"/>
      <protection locked="0"/>
    </xf>
    <xf numFmtId="236" fontId="39" fillId="0" borderId="0">
      <alignment horizontal="right"/>
      <protection locked="0"/>
    </xf>
    <xf numFmtId="237" fontId="39" fillId="0" borderId="0"/>
    <xf numFmtId="238" fontId="39" fillId="0" borderId="0"/>
    <xf numFmtId="239" fontId="39" fillId="0" borderId="0"/>
    <xf numFmtId="237" fontId="39" fillId="0" borderId="12"/>
    <xf numFmtId="238" fontId="39" fillId="0" borderId="12"/>
    <xf numFmtId="238" fontId="39" fillId="0" borderId="12"/>
    <xf numFmtId="239" fontId="39" fillId="0" borderId="12"/>
    <xf numFmtId="239" fontId="39" fillId="0" borderId="12"/>
    <xf numFmtId="237" fontId="39" fillId="0" borderId="12"/>
    <xf numFmtId="237" fontId="39" fillId="0" borderId="12"/>
    <xf numFmtId="237" fontId="39" fillId="0" borderId="0"/>
    <xf numFmtId="240" fontId="4" fillId="46" borderId="0"/>
    <xf numFmtId="180" fontId="4" fillId="0" borderId="0">
      <alignment vertical="center"/>
    </xf>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189" fontId="84" fillId="61" borderId="18" applyNumberFormat="0" applyAlignment="0" applyProtection="0"/>
    <xf numFmtId="189" fontId="84" fillId="61" borderId="18" applyNumberFormat="0" applyAlignment="0" applyProtection="0"/>
    <xf numFmtId="38" fontId="85" fillId="0" borderId="0" applyNumberFormat="0" applyFill="0" applyBorder="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189" fontId="87"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60" fillId="0" borderId="13">
      <alignment horizontal="center"/>
    </xf>
    <xf numFmtId="37" fontId="60" fillId="0" borderId="0">
      <alignment horizontal="center" vertical="center" wrapText="1"/>
    </xf>
    <xf numFmtId="1" fontId="88" fillId="0" borderId="20">
      <alignment vertical="top"/>
    </xf>
    <xf numFmtId="173" fontId="89" fillId="0" borderId="0" applyBorder="0">
      <alignment horizontal="right"/>
    </xf>
    <xf numFmtId="173" fontId="89" fillId="0" borderId="21" applyAlignment="0">
      <alignment horizontal="right"/>
    </xf>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38" fontId="4" fillId="0" borderId="0" applyFont="0" applyFill="0" applyBorder="0" applyAlignment="0" applyProtection="0"/>
    <xf numFmtId="204" fontId="41" fillId="0" borderId="0" applyFont="0" applyFill="0" applyBorder="0" applyAlignment="0" applyProtection="0">
      <protection locked="0"/>
    </xf>
    <xf numFmtId="40" fontId="41"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1" fillId="0" borderId="0"/>
    <xf numFmtId="242" fontId="53" fillId="0" borderId="0"/>
    <xf numFmtId="180" fontId="90" fillId="0" borderId="0" applyFont="0" applyFill="0" applyBorder="0" applyAlignment="0" applyProtection="0">
      <alignment horizontal="right"/>
    </xf>
    <xf numFmtId="243" fontId="90" fillId="0" borderId="0" applyFont="0" applyFill="0" applyBorder="0" applyAlignment="0" applyProtection="0"/>
    <xf numFmtId="180" fontId="90"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7" fillId="0" borderId="0" applyFill="0" applyBorder="0" applyProtection="0">
      <alignment horizontal="center"/>
    </xf>
    <xf numFmtId="180" fontId="91" fillId="0" borderId="0">
      <protection locked="0"/>
    </xf>
    <xf numFmtId="249" fontId="4" fillId="0" borderId="0" applyBorder="0"/>
    <xf numFmtId="250" fontId="49" fillId="0" borderId="0" applyBorder="0"/>
    <xf numFmtId="251" fontId="4" fillId="0" borderId="0" applyFill="0" applyBorder="0">
      <alignment horizontal="left"/>
    </xf>
    <xf numFmtId="180" fontId="92" fillId="0" borderId="0" applyNumberFormat="0" applyAlignment="0">
      <alignment horizontal="left"/>
    </xf>
    <xf numFmtId="37" fontId="4" fillId="80" borderId="0" applyFont="0" applyBorder="0" applyAlignment="0" applyProtection="0"/>
    <xf numFmtId="193" fontId="46" fillId="80" borderId="0" applyFont="0" applyBorder="0" applyAlignment="0" applyProtection="0"/>
    <xf numFmtId="39" fontId="46" fillId="80" borderId="0" applyFont="0" applyBorder="0" applyAlignment="0" applyProtection="0"/>
    <xf numFmtId="252" fontId="93" fillId="0" borderId="0"/>
    <xf numFmtId="253" fontId="41" fillId="0" borderId="0" applyFont="0" applyFill="0" applyBorder="0" applyAlignment="0" applyProtection="0">
      <protection locked="0"/>
    </xf>
    <xf numFmtId="254" fontId="41" fillId="0" borderId="0" applyFont="0" applyFill="0" applyBorder="0" applyAlignment="0" applyProtection="0">
      <protection locked="0"/>
    </xf>
    <xf numFmtId="255" fontId="4" fillId="0" borderId="0">
      <alignment horizontal="right"/>
    </xf>
    <xf numFmtId="180" fontId="90"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90"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4" fillId="81" borderId="0" applyAlignment="0" applyProtection="0">
      <alignment vertical="center"/>
    </xf>
    <xf numFmtId="259" fontId="40" fillId="46" borderId="15">
      <alignment horizontal="right"/>
    </xf>
    <xf numFmtId="260" fontId="37" fillId="0" borderId="0" applyFont="0" applyFill="0" applyBorder="0" applyAlignment="0" applyProtection="0"/>
    <xf numFmtId="229" fontId="39" fillId="45" borderId="22">
      <protection locked="0"/>
    </xf>
    <xf numFmtId="230" fontId="39" fillId="45" borderId="22">
      <protection locked="0"/>
    </xf>
    <xf numFmtId="231" fontId="39" fillId="45" borderId="22">
      <protection locked="0"/>
    </xf>
    <xf numFmtId="229" fontId="39" fillId="45" borderId="22">
      <protection locked="0"/>
    </xf>
    <xf numFmtId="232" fontId="39" fillId="45" borderId="22">
      <protection locked="0"/>
    </xf>
    <xf numFmtId="233" fontId="39" fillId="45" borderId="22">
      <protection locked="0"/>
    </xf>
    <xf numFmtId="234" fontId="39" fillId="45" borderId="22">
      <protection locked="0"/>
    </xf>
    <xf numFmtId="232" fontId="39" fillId="45" borderId="22">
      <protection locked="0"/>
    </xf>
    <xf numFmtId="235" fontId="39" fillId="37" borderId="22">
      <alignment horizontal="right"/>
      <protection locked="0"/>
    </xf>
    <xf numFmtId="236" fontId="39" fillId="37" borderId="22">
      <alignment horizontal="right"/>
      <protection locked="0"/>
    </xf>
    <xf numFmtId="0" fontId="39" fillId="82" borderId="22">
      <alignment horizontal="left"/>
      <protection locked="0"/>
    </xf>
    <xf numFmtId="49" fontId="39" fillId="38" borderId="22">
      <alignment horizontal="left" vertical="top" wrapText="1"/>
      <protection locked="0"/>
    </xf>
    <xf numFmtId="237" fontId="39" fillId="45" borderId="22">
      <protection locked="0"/>
    </xf>
    <xf numFmtId="238" fontId="39" fillId="45" borderId="22">
      <protection locked="0"/>
    </xf>
    <xf numFmtId="239" fontId="39" fillId="45" borderId="22">
      <protection locked="0"/>
    </xf>
    <xf numFmtId="237" fontId="39" fillId="45" borderId="22">
      <protection locked="0"/>
    </xf>
    <xf numFmtId="49" fontId="39" fillId="38" borderId="22">
      <alignment horizontal="left"/>
      <protection locked="0"/>
    </xf>
    <xf numFmtId="261" fontId="39"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90" fillId="0" borderId="0" applyFont="0" applyFill="0" applyBorder="0" applyAlignment="0" applyProtection="0"/>
    <xf numFmtId="264" fontId="4" fillId="0" borderId="0" applyFont="0" applyFill="0" applyBorder="0" applyAlignment="0" applyProtection="0"/>
    <xf numFmtId="180" fontId="90" fillId="0" borderId="0" applyFont="0" applyFill="0" applyBorder="0" applyAlignment="0" applyProtection="0"/>
    <xf numFmtId="180" fontId="89"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3" fillId="0" borderId="0">
      <alignment horizontal="right"/>
    </xf>
    <xf numFmtId="207" fontId="53" fillId="0" borderId="0">
      <alignment horizontal="right"/>
      <protection locked="0"/>
    </xf>
    <xf numFmtId="207" fontId="53" fillId="0" borderId="0"/>
    <xf numFmtId="269" fontId="53" fillId="0" borderId="0">
      <alignment horizontal="right"/>
      <protection locked="0"/>
    </xf>
    <xf numFmtId="207" fontId="54" fillId="0" borderId="0"/>
    <xf numFmtId="270" fontId="49"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1" fillId="46" borderId="0" applyNumberFormat="0" applyFont="0" applyBorder="0" applyAlignment="0" applyProtection="0"/>
    <xf numFmtId="254" fontId="37" fillId="0" borderId="0" applyFill="0" applyBorder="0" applyProtection="0">
      <alignment horizontal="center"/>
    </xf>
    <xf numFmtId="253" fontId="37" fillId="0" borderId="0">
      <alignment horizontal="center"/>
    </xf>
    <xf numFmtId="254" fontId="37" fillId="0" borderId="0" applyFill="0" applyBorder="0" applyProtection="0">
      <alignment horizontal="center"/>
    </xf>
    <xf numFmtId="251" fontId="95" fillId="0" borderId="0">
      <alignment horizontal="center"/>
    </xf>
    <xf numFmtId="180" fontId="90" fillId="0" borderId="24" applyNumberFormat="0" applyFont="0" applyFill="0" applyAlignment="0" applyProtection="0"/>
    <xf numFmtId="210" fontId="96" fillId="0" borderId="25"/>
    <xf numFmtId="211" fontId="53" fillId="0" borderId="0"/>
    <xf numFmtId="38" fontId="45" fillId="0" borderId="0" applyFont="0" applyFill="0" applyBorder="0" applyAlignment="0" applyProtection="0"/>
    <xf numFmtId="180" fontId="97" fillId="0" borderId="0" applyFont="0" applyFill="0" applyBorder="0" applyAlignment="0" applyProtection="0"/>
    <xf numFmtId="180" fontId="98" fillId="0" borderId="0" applyNumberFormat="0" applyAlignment="0">
      <alignment horizontal="left"/>
    </xf>
    <xf numFmtId="272" fontId="40" fillId="0" borderId="0"/>
    <xf numFmtId="273" fontId="40" fillId="0" borderId="0"/>
    <xf numFmtId="274" fontId="40" fillId="0" borderId="0"/>
    <xf numFmtId="275" fontId="40" fillId="0" borderId="0"/>
    <xf numFmtId="276" fontId="40" fillId="0" borderId="0"/>
    <xf numFmtId="277" fontId="40" fillId="0" borderId="0"/>
    <xf numFmtId="189" fontId="4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9" fontId="101" fillId="0" borderId="0" applyNumberFormat="0" applyFill="0" applyBorder="0" applyAlignment="0" applyProtection="0"/>
    <xf numFmtId="0" fontId="37" fillId="79" borderId="0" applyNumberFormat="0" applyFont="0" applyBorder="0" applyAlignment="0" applyProtection="0"/>
    <xf numFmtId="0" fontId="37" fillId="79" borderId="0" applyNumberFormat="0" applyFont="0" applyBorder="0" applyAlignment="0" applyProtection="0"/>
    <xf numFmtId="0" fontId="102" fillId="0" borderId="0" applyNumberFormat="0" applyFill="0" applyBorder="0" applyAlignment="0" applyProtection="0"/>
    <xf numFmtId="281" fontId="103" fillId="0" borderId="0" applyFill="0" applyBorder="0"/>
    <xf numFmtId="15" fontId="13" fillId="0" borderId="0" applyFill="0" applyBorder="0" applyProtection="0">
      <alignment horizontal="center"/>
    </xf>
    <xf numFmtId="0" fontId="37" fillId="20" borderId="0" applyNumberFormat="0" applyFont="0" applyBorder="0" applyAlignment="0" applyProtection="0"/>
    <xf numFmtId="0" fontId="37" fillId="20" borderId="0" applyNumberFormat="0" applyFont="0" applyBorder="0" applyAlignment="0" applyProtection="0"/>
    <xf numFmtId="282" fontId="104" fillId="0" borderId="0" applyFill="0" applyBorder="0" applyProtection="0"/>
    <xf numFmtId="283" fontId="14" fillId="61" borderId="4" applyAlignment="0" applyProtection="0"/>
    <xf numFmtId="283" fontId="14" fillId="61" borderId="4" applyAlignment="0" applyProtection="0"/>
    <xf numFmtId="284" fontId="105" fillId="0" borderId="0" applyNumberFormat="0" applyFill="0" applyBorder="0" applyAlignment="0" applyProtection="0"/>
    <xf numFmtId="284" fontId="106" fillId="0" borderId="0" applyNumberFormat="0" applyFill="0" applyBorder="0" applyAlignment="0" applyProtection="0"/>
    <xf numFmtId="15" fontId="102" fillId="45" borderId="22">
      <alignment horizontal="center"/>
      <protection locked="0"/>
    </xf>
    <xf numFmtId="285" fontId="102" fillId="45" borderId="22" applyAlignment="0">
      <protection locked="0"/>
    </xf>
    <xf numFmtId="286" fontId="102"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28" borderId="0" applyNumberFormat="0" applyFont="0" applyBorder="0" applyAlignment="0" applyProtection="0"/>
    <xf numFmtId="0" fontId="37"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7" fillId="84" borderId="28" applyNumberFormat="0" applyBorder="0" applyAlignment="0">
      <alignment horizontal="centerContinuous" vertical="center"/>
      <protection locked="0"/>
    </xf>
    <xf numFmtId="180" fontId="91" fillId="0" borderId="0">
      <protection locked="0"/>
    </xf>
    <xf numFmtId="251" fontId="108" fillId="0" borderId="0"/>
    <xf numFmtId="251" fontId="108" fillId="0" borderId="0"/>
    <xf numFmtId="180" fontId="109" fillId="0" borderId="0"/>
    <xf numFmtId="180" fontId="110" fillId="0" borderId="0" applyFill="0" applyBorder="0" applyProtection="0">
      <alignment horizontal="left"/>
    </xf>
    <xf numFmtId="4" fontId="111" fillId="0" borderId="0">
      <protection locked="0"/>
    </xf>
    <xf numFmtId="0" fontId="94" fillId="19" borderId="0" applyAlignment="0" applyProtection="0">
      <alignment horizontal="right" vertical="center"/>
    </xf>
    <xf numFmtId="252" fontId="112" fillId="0" borderId="0"/>
    <xf numFmtId="273" fontId="40" fillId="0" borderId="29"/>
    <xf numFmtId="291" fontId="40" fillId="46" borderId="15">
      <alignment horizontal="right"/>
    </xf>
    <xf numFmtId="292" fontId="4" fillId="0" borderId="0" applyFont="0" applyFill="0" applyBorder="0" applyAlignment="0" applyProtection="0"/>
    <xf numFmtId="293" fontId="113" fillId="0" borderId="0" applyFont="0" applyFill="0" applyBorder="0" applyAlignment="0" applyProtection="0"/>
    <xf numFmtId="294" fontId="4" fillId="0" borderId="0" applyFont="0" applyFill="0" applyBorder="0" applyAlignment="0" applyProtection="0"/>
    <xf numFmtId="295" fontId="11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189" fontId="115" fillId="57" borderId="0" applyNumberFormat="0" applyBorder="0" applyAlignment="0" applyProtection="0"/>
    <xf numFmtId="2" fontId="116" fillId="50" borderId="15" applyProtection="0">
      <alignment horizontal="left"/>
      <protection locked="0"/>
    </xf>
    <xf numFmtId="38" fontId="49" fillId="46" borderId="0" applyNumberFormat="0" applyBorder="0" applyAlignment="0" applyProtection="0"/>
    <xf numFmtId="0" fontId="4" fillId="61" borderId="0" applyNumberFormat="0" applyFont="0" applyBorder="0" applyAlignment="0" applyProtection="0"/>
    <xf numFmtId="296" fontId="89" fillId="36" borderId="30" applyNumberFormat="0" applyFont="0" applyAlignment="0"/>
    <xf numFmtId="180" fontId="90" fillId="0" borderId="0" applyFont="0" applyFill="0" applyBorder="0" applyAlignment="0" applyProtection="0">
      <alignment horizontal="right"/>
    </xf>
    <xf numFmtId="180" fontId="117" fillId="0" borderId="0" applyProtection="0">
      <alignment horizontal="right"/>
    </xf>
    <xf numFmtId="180" fontId="74" fillId="0" borderId="31" applyNumberFormat="0" applyAlignment="0" applyProtection="0">
      <alignment horizontal="left" vertical="center"/>
    </xf>
    <xf numFmtId="180" fontId="74" fillId="0" borderId="32">
      <alignment horizontal="left" vertical="center"/>
    </xf>
    <xf numFmtId="2" fontId="70" fillId="76" borderId="0" applyAlignment="0">
      <alignment horizontal="right"/>
      <protection locked="0"/>
    </xf>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189" fontId="120" fillId="0" borderId="34"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189" fontId="123" fillId="0" borderId="35"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9" fontId="126" fillId="0" borderId="36"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9" fontId="126" fillId="0" borderId="0" applyNumberFormat="0" applyFill="0" applyBorder="0" applyAlignment="0" applyProtection="0"/>
    <xf numFmtId="180" fontId="37" fillId="0" borderId="0">
      <protection locked="0"/>
    </xf>
    <xf numFmtId="180" fontId="37" fillId="0" borderId="0">
      <protection locked="0"/>
    </xf>
    <xf numFmtId="297" fontId="127" fillId="0" borderId="0">
      <alignment horizontal="right"/>
    </xf>
    <xf numFmtId="298" fontId="57" fillId="0" borderId="0" applyAlignment="0">
      <alignment horizontal="right"/>
      <protection hidden="1"/>
    </xf>
    <xf numFmtId="180" fontId="102" fillId="0" borderId="37" applyNumberFormat="0" applyFill="0" applyAlignment="0" applyProtection="0"/>
    <xf numFmtId="204" fontId="128"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89"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89" fontId="136" fillId="0" borderId="0" applyNumberFormat="0" applyFill="0" applyBorder="0" applyAlignment="0" applyProtection="0">
      <alignment vertical="top"/>
      <protection locked="0"/>
    </xf>
    <xf numFmtId="180" fontId="137" fillId="0" borderId="0">
      <alignment wrapText="1"/>
    </xf>
    <xf numFmtId="10" fontId="49" fillId="36" borderId="30" applyNumberFormat="0" applyBorder="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189" fontId="140" fillId="60" borderId="38" applyNumberFormat="0" applyAlignment="0" applyProtection="0"/>
    <xf numFmtId="189" fontId="140" fillId="60" borderId="38" applyNumberFormat="0" applyAlignment="0" applyProtection="0"/>
    <xf numFmtId="0" fontId="49" fillId="0" borderId="0" applyNumberFormat="0" applyFill="0" applyBorder="0" applyAlignment="0">
      <protection locked="0"/>
    </xf>
    <xf numFmtId="0" fontId="141" fillId="34" borderId="0"/>
    <xf numFmtId="240" fontId="60" fillId="86" borderId="0">
      <protection locked="0"/>
    </xf>
    <xf numFmtId="299" fontId="37" fillId="0" borderId="0"/>
    <xf numFmtId="0" fontId="142" fillId="0" borderId="0"/>
    <xf numFmtId="38" fontId="143" fillId="0" borderId="0"/>
    <xf numFmtId="38" fontId="144" fillId="0" borderId="0"/>
    <xf numFmtId="38" fontId="145" fillId="0" borderId="0"/>
    <xf numFmtId="38" fontId="146" fillId="0" borderId="0"/>
    <xf numFmtId="0" fontId="63" fillId="0" borderId="0"/>
    <xf numFmtId="0" fontId="63" fillId="0" borderId="0"/>
    <xf numFmtId="0" fontId="63" fillId="0" borderId="0"/>
    <xf numFmtId="0" fontId="39" fillId="0" borderId="0"/>
    <xf numFmtId="0" fontId="147" fillId="0" borderId="0"/>
    <xf numFmtId="0" fontId="148" fillId="0" borderId="0">
      <alignment horizontal="center"/>
    </xf>
    <xf numFmtId="300" fontId="149" fillId="0" borderId="0" applyFont="0" applyFill="0" applyBorder="0" applyAlignment="0" applyProtection="0"/>
    <xf numFmtId="180" fontId="4" fillId="0" borderId="0" applyNumberFormat="0" applyFont="0" applyFill="0" applyBorder="0" applyProtection="0">
      <alignment horizontal="left" vertical="center"/>
    </xf>
    <xf numFmtId="168" fontId="32" fillId="2" borderId="0"/>
    <xf numFmtId="168" fontId="33" fillId="53" borderId="0"/>
    <xf numFmtId="180" fontId="49" fillId="46" borderId="0"/>
    <xf numFmtId="38" fontId="150" fillId="0" borderId="0" applyNumberFormat="0" applyFill="0" applyBorder="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189" fontId="153" fillId="0" borderId="40" applyNumberFormat="0" applyFill="0" applyAlignment="0" applyProtection="0"/>
    <xf numFmtId="0" fontId="94" fillId="87" borderId="0" applyAlignment="0" applyProtection="0">
      <alignment horizontal="right" vertical="center"/>
    </xf>
    <xf numFmtId="197" fontId="50" fillId="0" borderId="0" applyFont="0" applyFill="0" applyBorder="0" applyAlignment="0" applyProtection="0">
      <alignment horizontal="right"/>
    </xf>
    <xf numFmtId="301"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302"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40" fontId="154" fillId="0" borderId="0">
      <alignment horizontal="right"/>
    </xf>
    <xf numFmtId="37" fontId="155" fillId="0" borderId="0"/>
    <xf numFmtId="180" fontId="156"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40" fillId="0" borderId="0">
      <alignment horizontal="right"/>
    </xf>
    <xf numFmtId="180" fontId="157" fillId="0" borderId="21"/>
    <xf numFmtId="305" fontId="45" fillId="0" borderId="0" applyFont="0" applyFill="0" applyBorder="0" applyAlignment="0" applyProtection="0"/>
    <xf numFmtId="306" fontId="45"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9" fillId="36" borderId="0">
      <alignment horizontal="center"/>
    </xf>
    <xf numFmtId="308" fontId="37" fillId="0" borderId="0" applyFill="0" applyBorder="0" applyProtection="0">
      <alignment horizontal="center"/>
    </xf>
    <xf numFmtId="309" fontId="37" fillId="0" borderId="0" applyFont="0" applyFill="0" applyBorder="0" applyAlignment="0" applyProtection="0">
      <alignment horizontal="centerContinuous"/>
      <protection locked="0"/>
    </xf>
    <xf numFmtId="49" fontId="158" fillId="81" borderId="0" applyAlignment="0" applyProtection="0">
      <alignment horizontal="centerContinuous" vertical="center"/>
    </xf>
    <xf numFmtId="310" fontId="49" fillId="0" borderId="0" applyFont="0" applyFill="0" applyBorder="0" applyAlignment="0" applyProtection="0">
      <alignment horizontal="right"/>
    </xf>
    <xf numFmtId="0" fontId="77" fillId="0" borderId="0">
      <alignment horizontal="right"/>
    </xf>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189" fontId="160" fillId="18" borderId="0" applyNumberFormat="0" applyBorder="0" applyAlignment="0" applyProtection="0"/>
    <xf numFmtId="37" fontId="161" fillId="0" borderId="0"/>
    <xf numFmtId="297" fontId="162" fillId="0" borderId="0"/>
    <xf numFmtId="311" fontId="41" fillId="0" borderId="0"/>
    <xf numFmtId="311" fontId="41" fillId="0" borderId="13"/>
    <xf numFmtId="311" fontId="41" fillId="0" borderId="41"/>
    <xf numFmtId="311" fontId="41" fillId="0" borderId="0"/>
    <xf numFmtId="312" fontId="53" fillId="0" borderId="0"/>
    <xf numFmtId="313" fontId="53" fillId="0" borderId="0"/>
    <xf numFmtId="314" fontId="53" fillId="0" borderId="0"/>
    <xf numFmtId="315" fontId="49" fillId="0" borderId="0"/>
    <xf numFmtId="316" fontId="49"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1" fillId="0" borderId="41"/>
    <xf numFmtId="0" fontId="102" fillId="0" borderId="0" applyFill="0" applyBorder="0">
      <protection locked="0"/>
    </xf>
    <xf numFmtId="180" fontId="4" fillId="0" borderId="0"/>
    <xf numFmtId="180" fontId="164" fillId="0" borderId="0"/>
    <xf numFmtId="180" fontId="165" fillId="0" borderId="0"/>
    <xf numFmtId="180" fontId="166" fillId="0" borderId="0"/>
    <xf numFmtId="180" fontId="167" fillId="0" borderId="0"/>
    <xf numFmtId="180" fontId="46" fillId="0" borderId="0"/>
    <xf numFmtId="38" fontId="168"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9"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6" fillId="50" borderId="44" applyNumberFormat="0">
      <alignment vertical="center"/>
    </xf>
    <xf numFmtId="318" fontId="36" fillId="88" borderId="44" applyNumberFormat="0">
      <alignment vertical="center"/>
    </xf>
    <xf numFmtId="318" fontId="36" fillId="40" borderId="44" applyNumberFormat="0">
      <alignment vertical="center"/>
    </xf>
    <xf numFmtId="318" fontId="36" fillId="38" borderId="44" applyNumberFormat="0">
      <alignment vertical="center"/>
    </xf>
    <xf numFmtId="318" fontId="36" fillId="89" borderId="44" applyNumberFormat="0">
      <alignment vertical="center"/>
    </xf>
    <xf numFmtId="318" fontId="36" fillId="46" borderId="44" applyNumberFormat="0">
      <alignment vertical="center"/>
    </xf>
    <xf numFmtId="318" fontId="36" fillId="90" borderId="44" applyNumberFormat="0">
      <alignment vertical="center"/>
    </xf>
    <xf numFmtId="318" fontId="36" fillId="80" borderId="44" applyNumberFormat="0">
      <alignment vertical="center"/>
    </xf>
    <xf numFmtId="318" fontId="36" fillId="91" borderId="44" applyNumberFormat="0">
      <alignment vertical="center"/>
    </xf>
    <xf numFmtId="318" fontId="36" fillId="92" borderId="44" applyNumberFormat="0">
      <alignment vertical="center"/>
    </xf>
    <xf numFmtId="318" fontId="170" fillId="45" borderId="44">
      <protection locked="0"/>
    </xf>
    <xf numFmtId="318" fontId="170" fillId="37" borderId="44">
      <protection locked="0"/>
    </xf>
    <xf numFmtId="318" fontId="171" fillId="37" borderId="45" applyNumberFormat="0" applyFont="0" applyFill="0" applyAlignment="0" applyProtection="0">
      <protection locked="0"/>
    </xf>
    <xf numFmtId="318" fontId="77" fillId="0" borderId="0" applyNumberFormat="0" applyFill="0">
      <alignment horizontal="left" vertical="top"/>
    </xf>
    <xf numFmtId="0" fontId="172" fillId="93" borderId="0" applyNumberFormat="0">
      <alignment horizontal="left" vertical="center" indent="1"/>
    </xf>
    <xf numFmtId="0" fontId="173" fillId="94" borderId="0" applyNumberFormat="0">
      <alignment vertical="center"/>
    </xf>
    <xf numFmtId="0" fontId="74" fillId="46" borderId="0">
      <alignment vertical="center"/>
    </xf>
    <xf numFmtId="0" fontId="174" fillId="0" borderId="46">
      <alignment vertical="center"/>
    </xf>
    <xf numFmtId="0" fontId="35" fillId="95" borderId="30" applyNumberFormat="0" applyFont="0" applyAlignment="0">
      <alignment vertical="center"/>
    </xf>
    <xf numFmtId="0" fontId="35" fillId="45" borderId="30" applyNumberFormat="0" applyFont="0" applyAlignment="0">
      <alignment vertical="center"/>
    </xf>
    <xf numFmtId="0" fontId="35" fillId="37" borderId="30" applyNumberFormat="0" applyFont="0" applyAlignment="0">
      <alignment vertical="center"/>
    </xf>
    <xf numFmtId="0" fontId="35"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5" fillId="0" borderId="0">
      <alignment horizontal="left"/>
    </xf>
    <xf numFmtId="3" fontId="176" fillId="0" borderId="0" applyFill="0" applyBorder="0" applyAlignment="0" applyProtection="0"/>
    <xf numFmtId="180" fontId="177" fillId="12" borderId="47" applyNumberFormat="0" applyBorder="0" applyAlignment="0">
      <alignment horizontal="center"/>
      <protection hidden="1"/>
    </xf>
    <xf numFmtId="180" fontId="178" fillId="0" borderId="47" applyNumberFormat="0" applyBorder="0" applyAlignment="0">
      <alignment horizontal="center"/>
      <protection locked="0"/>
    </xf>
    <xf numFmtId="2" fontId="179" fillId="50" borderId="15">
      <alignment horizontal="left"/>
    </xf>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189" fontId="181" fillId="61" borderId="48" applyNumberFormat="0" applyAlignment="0" applyProtection="0"/>
    <xf numFmtId="189" fontId="181" fillId="61" borderId="48" applyNumberFormat="0" applyAlignment="0" applyProtection="0"/>
    <xf numFmtId="40" fontId="13" fillId="33" borderId="0">
      <alignment horizontal="right"/>
    </xf>
    <xf numFmtId="180" fontId="182" fillId="98" borderId="0">
      <alignment horizontal="center"/>
    </xf>
    <xf numFmtId="180" fontId="183" fillId="99" borderId="0"/>
    <xf numFmtId="180" fontId="184" fillId="33" borderId="0" applyBorder="0">
      <alignment horizontal="centerContinuous"/>
    </xf>
    <xf numFmtId="180" fontId="185"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7" fillId="100" borderId="0" applyNumberFormat="0" applyFont="0" applyBorder="0" applyAlignment="0"/>
    <xf numFmtId="1" fontId="186" fillId="0" borderId="0" applyProtection="0">
      <alignment horizontal="right" vertical="center"/>
    </xf>
    <xf numFmtId="193" fontId="187" fillId="0" borderId="0">
      <alignment horizontal="left"/>
    </xf>
    <xf numFmtId="320" fontId="40" fillId="0" borderId="0"/>
    <xf numFmtId="321" fontId="40" fillId="0" borderId="0"/>
    <xf numFmtId="255" fontId="4" fillId="0" borderId="0" applyFont="0" applyFill="0" applyBorder="0" applyAlignment="0" applyProtection="0"/>
    <xf numFmtId="322" fontId="4" fillId="0" borderId="0" applyFont="0" applyFill="0" applyBorder="0" applyAlignment="0" applyProtection="0"/>
    <xf numFmtId="170" fontId="41" fillId="0" borderId="0" applyFont="0" applyFill="0" applyBorder="0" applyAlignment="0" applyProtection="0">
      <protection locked="0"/>
    </xf>
    <xf numFmtId="10" fontId="41"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3"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60" fillId="80" borderId="0" applyBorder="0" applyAlignment="0">
      <protection locked="0"/>
    </xf>
    <xf numFmtId="9" fontId="53" fillId="0" borderId="0"/>
    <xf numFmtId="170" fontId="53" fillId="0" borderId="0"/>
    <xf numFmtId="10" fontId="53" fillId="0" borderId="0"/>
    <xf numFmtId="325" fontId="4" fillId="0" borderId="0" applyFont="0" applyFill="0" applyBorder="0" applyAlignment="0" applyProtection="0"/>
    <xf numFmtId="326" fontId="51" fillId="0" borderId="0"/>
    <xf numFmtId="327" fontId="51" fillId="0" borderId="0"/>
    <xf numFmtId="327" fontId="53" fillId="0" borderId="0"/>
    <xf numFmtId="328" fontId="4" fillId="0" borderId="0" applyBorder="0">
      <alignment horizontal="right"/>
    </xf>
    <xf numFmtId="329" fontId="49"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40" fillId="0" borderId="0">
      <alignment horizontal="right"/>
    </xf>
    <xf numFmtId="40" fontId="4" fillId="0" borderId="0"/>
    <xf numFmtId="1" fontId="188" fillId="46" borderId="0">
      <alignment horizontal="center"/>
    </xf>
    <xf numFmtId="18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180" fontId="189" fillId="0" borderId="21">
      <alignment horizontal="center"/>
    </xf>
    <xf numFmtId="3" fontId="45" fillId="0" borderId="0" applyFont="0" applyFill="0" applyBorder="0" applyAlignment="0" applyProtection="0"/>
    <xf numFmtId="180" fontId="45" fillId="102" borderId="0" applyNumberFormat="0" applyFont="0" applyBorder="0" applyAlignment="0" applyProtection="0"/>
    <xf numFmtId="333" fontId="40" fillId="46" borderId="0"/>
    <xf numFmtId="334" fontId="15" fillId="46" borderId="0" applyFill="0"/>
    <xf numFmtId="180" fontId="190" fillId="0" borderId="0">
      <alignment horizontal="left" indent="7"/>
    </xf>
    <xf numFmtId="180" fontId="15" fillId="0" borderId="0" applyFill="0">
      <alignment horizontal="left" indent="7"/>
    </xf>
    <xf numFmtId="334" fontId="60" fillId="0" borderId="32">
      <alignment horizontal="right"/>
    </xf>
    <xf numFmtId="180" fontId="60" fillId="0" borderId="30" applyNumberFormat="0" applyFont="0" applyBorder="0">
      <alignment horizontal="right"/>
    </xf>
    <xf numFmtId="180" fontId="191" fillId="0" borderId="0" applyFill="0"/>
    <xf numFmtId="180" fontId="60" fillId="0" borderId="0" applyFill="0"/>
    <xf numFmtId="334" fontId="12" fillId="0" borderId="32" applyFill="0"/>
    <xf numFmtId="180" fontId="4" fillId="0" borderId="0" applyNumberFormat="0" applyFont="0" applyBorder="0" applyAlignment="0"/>
    <xf numFmtId="180" fontId="192" fillId="0" borderId="0" applyFill="0">
      <alignment horizontal="left" indent="1"/>
    </xf>
    <xf numFmtId="180" fontId="12" fillId="0" borderId="0">
      <alignment horizontal="left" indent="1"/>
    </xf>
    <xf numFmtId="334" fontId="60" fillId="0" borderId="32" applyFill="0"/>
    <xf numFmtId="180" fontId="4" fillId="0" borderId="0" applyNumberFormat="0" applyFont="0" applyFill="0" applyBorder="0" applyAlignment="0"/>
    <xf numFmtId="180" fontId="191" fillId="0" borderId="0" applyFill="0">
      <alignment horizontal="left" indent="2"/>
    </xf>
    <xf numFmtId="180" fontId="60" fillId="0" borderId="0" applyFill="0">
      <alignment horizontal="left" indent="2"/>
    </xf>
    <xf numFmtId="334" fontId="12" fillId="0" borderId="32" applyFill="0"/>
    <xf numFmtId="180" fontId="4" fillId="0" borderId="0" applyNumberFormat="0" applyFont="0" applyBorder="0" applyAlignment="0"/>
    <xf numFmtId="180" fontId="192" fillId="0" borderId="0">
      <alignment horizontal="left" indent="3"/>
    </xf>
    <xf numFmtId="180" fontId="12" fillId="0" borderId="0" applyFill="0">
      <alignment horizontal="left" indent="3"/>
    </xf>
    <xf numFmtId="334" fontId="60" fillId="0" borderId="32" applyFill="0"/>
    <xf numFmtId="180" fontId="4" fillId="0" borderId="0" applyNumberFormat="0" applyFont="0" applyBorder="0" applyAlignment="0"/>
    <xf numFmtId="180" fontId="191" fillId="0" borderId="0">
      <alignment horizontal="left" indent="4"/>
    </xf>
    <xf numFmtId="180" fontId="60" fillId="0" borderId="0" applyFill="0">
      <alignment horizontal="left" indent="4"/>
    </xf>
    <xf numFmtId="334" fontId="12" fillId="0" borderId="32" applyFill="0"/>
    <xf numFmtId="180" fontId="4" fillId="0" borderId="0" applyNumberFormat="0" applyFont="0" applyBorder="0" applyAlignment="0"/>
    <xf numFmtId="180" fontId="192" fillId="0" borderId="0">
      <alignment horizontal="left" indent="5"/>
    </xf>
    <xf numFmtId="180" fontId="12" fillId="0" borderId="0" applyFill="0">
      <alignment horizontal="left" indent="5"/>
    </xf>
    <xf numFmtId="334" fontId="60" fillId="0" borderId="32" applyFill="0"/>
    <xf numFmtId="180" fontId="4" fillId="0" borderId="0" applyNumberFormat="0" applyFont="0" applyFill="0" applyBorder="0" applyAlignment="0"/>
    <xf numFmtId="180" fontId="60" fillId="0" borderId="0" applyFill="0">
      <alignment horizontal="left" indent="6"/>
    </xf>
    <xf numFmtId="335" fontId="40" fillId="46" borderId="15">
      <alignment horizontal="right"/>
    </xf>
    <xf numFmtId="0" fontId="193" fillId="0" borderId="0"/>
    <xf numFmtId="14" fontId="194"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5"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7"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98"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4" fontId="199"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9" fillId="103" borderId="0" applyNumberFormat="0" applyProtection="0">
      <alignment horizontal="left" vertical="center" indent="1"/>
    </xf>
    <xf numFmtId="4" fontId="199"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99"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99"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99"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99"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99"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99"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99"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99"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99"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99"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3" fillId="30" borderId="0" applyNumberFormat="0" applyProtection="0">
      <alignment horizontal="left" vertical="center" indent="1"/>
    </xf>
    <xf numFmtId="4" fontId="49" fillId="30" borderId="51" applyNumberFormat="0" applyProtection="0">
      <alignment horizontal="left" vertical="center" indent="1"/>
    </xf>
    <xf numFmtId="4" fontId="13" fillId="19" borderId="0" applyNumberFormat="0" applyProtection="0">
      <alignment horizontal="left" vertical="center" indent="1"/>
    </xf>
    <xf numFmtId="4" fontId="49"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9"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9"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9"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9"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9"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9"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9"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9"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9" fillId="33" borderId="53" applyNumberFormat="0">
      <protection locked="0"/>
    </xf>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200"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200"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180" fontId="49"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1" fillId="107" borderId="6" applyNumberFormat="0" applyProtection="0">
      <alignment horizontal="right" vertical="center"/>
    </xf>
    <xf numFmtId="38" fontId="202" fillId="0" borderId="56">
      <alignment horizontal="center"/>
    </xf>
    <xf numFmtId="180" fontId="203" fillId="110" borderId="0"/>
    <xf numFmtId="180" fontId="74" fillId="0" borderId="0"/>
    <xf numFmtId="38" fontId="45" fillId="0" borderId="0" applyFont="0" applyFill="0" applyBorder="0" applyAlignment="0" applyProtection="0"/>
    <xf numFmtId="40" fontId="142" fillId="0" borderId="0" applyFont="0" applyFill="0" applyBorder="0" applyAlignment="0" applyProtection="0"/>
    <xf numFmtId="317" fontId="51" fillId="111" borderId="0" applyFont="0"/>
    <xf numFmtId="180" fontId="204"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5" fillId="0" borderId="0">
      <alignment textRotation="90"/>
    </xf>
    <xf numFmtId="0" fontId="94" fillId="81" borderId="0" applyAlignment="0" applyProtection="0">
      <alignment horizontal="right" vertical="center"/>
    </xf>
    <xf numFmtId="190" fontId="54"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38" fontId="4" fillId="0" borderId="0" applyFont="0" applyFill="0" applyBorder="0" applyAlignment="0" applyProtection="0"/>
    <xf numFmtId="180" fontId="4" fillId="0" borderId="0">
      <alignment vertical="top"/>
    </xf>
    <xf numFmtId="180" fontId="206" fillId="50" borderId="0" applyNumberFormat="0" applyProtection="0">
      <alignment horizontal="center" vertical="center"/>
    </xf>
    <xf numFmtId="4" fontId="13" fillId="50" borderId="0" applyProtection="0">
      <alignment horizontal="center" vertical="center"/>
    </xf>
    <xf numFmtId="180" fontId="207" fillId="50" borderId="0" applyNumberFormat="0" applyProtection="0">
      <alignment horizontal="center" vertical="center"/>
    </xf>
    <xf numFmtId="4" fontId="15" fillId="50" borderId="0" applyProtection="0">
      <alignment horizontal="center" vertical="center"/>
    </xf>
    <xf numFmtId="180" fontId="208" fillId="113" borderId="0" applyNumberFormat="0" applyProtection="0">
      <alignment horizontal="center" vertical="center"/>
    </xf>
    <xf numFmtId="4" fontId="17" fillId="113" borderId="0" applyProtection="0">
      <alignment horizontal="center" vertical="center"/>
    </xf>
    <xf numFmtId="180" fontId="205" fillId="50" borderId="0" applyNumberFormat="0" applyProtection="0">
      <alignment horizontal="center" vertical="center"/>
    </xf>
    <xf numFmtId="4" fontId="209" fillId="50" borderId="0" applyProtection="0">
      <alignment horizontal="center" vertical="center"/>
    </xf>
    <xf numFmtId="180" fontId="210" fillId="114" borderId="0" applyNumberFormat="0" applyProtection="0">
      <alignment horizontal="center" vertical="center"/>
    </xf>
    <xf numFmtId="4" fontId="57"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7" fillId="113" borderId="0" applyNumberFormat="0" applyProtection="0">
      <alignment horizontal="center" vertical="center" wrapText="1"/>
    </xf>
    <xf numFmtId="180" fontId="211" fillId="50" borderId="0" applyNumberFormat="0" applyProtection="0">
      <alignment horizontal="center" vertical="center" wrapText="1"/>
    </xf>
    <xf numFmtId="180" fontId="11" fillId="50" borderId="0" applyNumberFormat="0" applyProtection="0">
      <alignment horizontal="center" vertical="center" wrapText="1"/>
    </xf>
    <xf numFmtId="4" fontId="212" fillId="50" borderId="0" applyProtection="0">
      <alignment horizontal="center" vertical="top" wrapText="1"/>
    </xf>
    <xf numFmtId="180" fontId="12" fillId="50" borderId="0" applyNumberFormat="0" applyProtection="0">
      <alignment horizontal="center" vertical="center" wrapText="1"/>
    </xf>
    <xf numFmtId="4" fontId="213" fillId="50" borderId="0" applyProtection="0">
      <alignment horizontal="center" vertical="top" wrapText="1"/>
    </xf>
    <xf numFmtId="180" fontId="137" fillId="113" borderId="0" applyNumberFormat="0" applyProtection="0">
      <alignment horizontal="center" vertical="center" wrapText="1"/>
    </xf>
    <xf numFmtId="4" fontId="214" fillId="113" borderId="0" applyProtection="0">
      <alignment horizontal="center" vertical="top" wrapText="1"/>
    </xf>
    <xf numFmtId="180" fontId="211" fillId="50" borderId="0" applyNumberFormat="0" applyProtection="0">
      <alignment horizontal="center" vertical="center" wrapText="1"/>
    </xf>
    <xf numFmtId="4" fontId="215" fillId="50" borderId="0" applyProtection="0">
      <alignment horizontal="center" vertical="top" wrapText="1"/>
    </xf>
    <xf numFmtId="180" fontId="183" fillId="114" borderId="0" applyNumberFormat="0" applyProtection="0">
      <alignment horizontal="center" vertical="center" wrapText="1"/>
    </xf>
    <xf numFmtId="4" fontId="216" fillId="114" borderId="0" applyProtection="0">
      <alignment horizontal="center" vertical="top" wrapText="1"/>
    </xf>
    <xf numFmtId="180" fontId="11" fillId="104" borderId="0" applyNumberFormat="0" applyProtection="0">
      <alignment horizontal="center" vertical="center" wrapText="1"/>
    </xf>
    <xf numFmtId="4" fontId="212" fillId="104" borderId="0" applyProtection="0">
      <alignment horizontal="center" vertical="top" wrapText="1"/>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80" fontId="217" fillId="0" borderId="0"/>
    <xf numFmtId="180" fontId="218" fillId="40" borderId="0"/>
    <xf numFmtId="180" fontId="219" fillId="0" borderId="0">
      <alignment horizontal="left" vertical="center"/>
    </xf>
    <xf numFmtId="252" fontId="74" fillId="0" borderId="0"/>
    <xf numFmtId="180" fontId="103" fillId="0" borderId="0"/>
    <xf numFmtId="180" fontId="74" fillId="0" borderId="0">
      <alignment horizontal="center"/>
    </xf>
    <xf numFmtId="37" fontId="60" fillId="0" borderId="57" applyNumberFormat="0"/>
    <xf numFmtId="40" fontId="4" fillId="0" borderId="0" applyBorder="0">
      <alignment horizontal="right"/>
    </xf>
    <xf numFmtId="37" fontId="60" fillId="0" borderId="57" applyNumberFormat="0"/>
    <xf numFmtId="40" fontId="220" fillId="0" borderId="0" applyBorder="0">
      <alignment horizontal="right"/>
    </xf>
    <xf numFmtId="0" fontId="221"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2" fillId="46" borderId="9">
      <protection locked="0"/>
    </xf>
    <xf numFmtId="0" fontId="212" fillId="46" borderId="9">
      <protection locked="0"/>
    </xf>
    <xf numFmtId="180" fontId="222" fillId="0" borderId="0" applyBorder="0" applyProtection="0">
      <alignment vertical="center"/>
    </xf>
    <xf numFmtId="180" fontId="222" fillId="0" borderId="13" applyBorder="0" applyProtection="0">
      <alignment horizontal="right" vertical="center"/>
    </xf>
    <xf numFmtId="180" fontId="223" fillId="115" borderId="0" applyBorder="0" applyProtection="0">
      <alignment horizontal="centerContinuous" vertical="center"/>
    </xf>
    <xf numFmtId="180" fontId="223" fillId="114" borderId="13" applyBorder="0" applyProtection="0">
      <alignment horizontal="centerContinuous" vertical="center"/>
    </xf>
    <xf numFmtId="180" fontId="224" fillId="0" borderId="0"/>
    <xf numFmtId="180" fontId="165" fillId="0" borderId="0"/>
    <xf numFmtId="180" fontId="225" fillId="0" borderId="0" applyFill="0" applyBorder="0" applyProtection="0">
      <alignment horizontal="left"/>
    </xf>
    <xf numFmtId="180" fontId="110" fillId="0" borderId="14" applyFill="0" applyBorder="0" applyProtection="0">
      <alignment horizontal="left" vertical="top"/>
    </xf>
    <xf numFmtId="180" fontId="226" fillId="0" borderId="0">
      <alignment horizontal="centerContinuous"/>
    </xf>
    <xf numFmtId="49" fontId="227" fillId="0" borderId="0"/>
    <xf numFmtId="49" fontId="37" fillId="0" borderId="0" applyFont="0" applyFill="0" applyBorder="0" applyAlignment="0" applyProtection="0"/>
    <xf numFmtId="180" fontId="228" fillId="0" borderId="0"/>
    <xf numFmtId="49" fontId="37" fillId="0" borderId="0" applyFont="0" applyFill="0" applyBorder="0" applyAlignment="0" applyProtection="0"/>
    <xf numFmtId="180" fontId="229" fillId="0" borderId="0"/>
    <xf numFmtId="0" fontId="89" fillId="83" borderId="0" applyAlignment="0" applyProtection="0"/>
    <xf numFmtId="0" fontId="49" fillId="83" borderId="0" applyAlignment="0" applyProtection="0">
      <alignment horizontal="left"/>
    </xf>
    <xf numFmtId="0" fontId="49" fillId="83" borderId="0" applyAlignment="0" applyProtection="0">
      <alignment horizontal="left" indent="1"/>
    </xf>
    <xf numFmtId="0" fontId="49" fillId="83" borderId="0" applyAlignment="0" applyProtection="0">
      <alignment horizontal="left" vertical="center" indent="2"/>
    </xf>
    <xf numFmtId="340" fontId="74" fillId="0" borderId="0" applyFont="0" applyFill="0" applyBorder="0" applyAlignment="0" applyProtection="0"/>
    <xf numFmtId="0" fontId="230" fillId="0" borderId="0">
      <alignment horizontal="center"/>
    </xf>
    <xf numFmtId="15" fontId="230"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1" fillId="0" borderId="0" applyNumberFormat="0" applyFill="0" applyBorder="0" applyAlignment="0" applyProtection="0"/>
    <xf numFmtId="0" fontId="4" fillId="0" borderId="0" applyNumberFormat="0" applyFont="0" applyFill="0" applyBorder="0" applyAlignment="0" applyProtection="0"/>
    <xf numFmtId="180" fontId="232" fillId="36" borderId="0">
      <alignment horizontal="right"/>
    </xf>
    <xf numFmtId="173" fontId="178" fillId="0" borderId="0"/>
    <xf numFmtId="180" fontId="233" fillId="0" borderId="0"/>
    <xf numFmtId="341" fontId="234" fillId="0" borderId="0"/>
    <xf numFmtId="193" fontId="4" fillId="0" borderId="57" applyNumberFormat="0" applyFont="0" applyFill="0" applyAlignment="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5" fillId="0" borderId="60" applyNumberFormat="0" applyFill="0" applyAlignment="0" applyProtection="0"/>
    <xf numFmtId="189" fontId="235" fillId="0" borderId="60" applyNumberFormat="0" applyFill="0" applyAlignment="0" applyProtection="0"/>
    <xf numFmtId="0" fontId="4" fillId="0" borderId="0" applyNumberFormat="0" applyFont="0" applyFill="0" applyBorder="0" applyAlignment="0" applyProtection="0"/>
    <xf numFmtId="37" fontId="60" fillId="0" borderId="61" applyNumberFormat="0" applyFill="0"/>
    <xf numFmtId="315" fontId="88" fillId="0" borderId="62" applyAlignment="0"/>
    <xf numFmtId="316" fontId="88" fillId="0" borderId="62" applyAlignment="0"/>
    <xf numFmtId="173" fontId="47" fillId="0" borderId="62"/>
    <xf numFmtId="342" fontId="50" fillId="0" borderId="0" applyFont="0" applyFill="0" applyBorder="0" applyAlignment="0" applyProtection="0">
      <alignment horizontal="right"/>
    </xf>
    <xf numFmtId="180" fontId="236" fillId="0" borderId="0">
      <alignment horizontal="fill"/>
    </xf>
    <xf numFmtId="37" fontId="49" fillId="45" borderId="0" applyNumberFormat="0" applyBorder="0" applyAlignment="0" applyProtection="0"/>
    <xf numFmtId="37" fontId="49" fillId="0" borderId="0"/>
    <xf numFmtId="37" fontId="49" fillId="46" borderId="0" applyNumberFormat="0" applyBorder="0" applyAlignment="0" applyProtection="0"/>
    <xf numFmtId="3" fontId="128" fillId="0" borderId="37" applyProtection="0"/>
    <xf numFmtId="4" fontId="47" fillId="0" borderId="0">
      <protection locked="0"/>
    </xf>
    <xf numFmtId="343" fontId="188" fillId="46" borderId="14" applyBorder="0">
      <alignment horizontal="right" vertical="center"/>
      <protection locked="0"/>
    </xf>
    <xf numFmtId="180" fontId="4" fillId="0" borderId="0">
      <alignment vertical="top"/>
    </xf>
    <xf numFmtId="180" fontId="237" fillId="0" borderId="0" applyFont="0" applyFill="0" applyBorder="0" applyAlignment="0" applyProtection="0"/>
    <xf numFmtId="245" fontId="113" fillId="0" borderId="0" applyFont="0" applyFill="0" applyBorder="0" applyAlignment="0" applyProtection="0"/>
    <xf numFmtId="344" fontId="113" fillId="0" borderId="0" applyFont="0" applyFill="0" applyBorder="0" applyAlignment="0" applyProtection="0"/>
    <xf numFmtId="345" fontId="113" fillId="0" borderId="0" applyFont="0" applyFill="0" applyBorder="0" applyAlignment="0" applyProtection="0"/>
    <xf numFmtId="204" fontId="49" fillId="0" borderId="0"/>
    <xf numFmtId="180" fontId="238" fillId="0" borderId="0"/>
    <xf numFmtId="346" fontId="4" fillId="0" borderId="0" applyFont="0" applyFill="0" applyBorder="0" applyAlignment="0" applyProtection="0"/>
    <xf numFmtId="256" fontId="4" fillId="0" borderId="0" applyFont="0" applyFill="0" applyBorder="0" applyAlignment="0" applyProtection="0"/>
    <xf numFmtId="0" fontId="23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9"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cellStyleXfs>
  <cellXfs count="995">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0" fillId="47" borderId="0" xfId="0" applyFill="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8"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28" xfId="90" applyFont="1" applyFill="1" applyBorder="1" applyAlignment="1">
      <alignment horizontal="left"/>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5" fillId="47" borderId="14" xfId="90" applyFont="1" applyFill="1" applyBorder="1" applyAlignment="1">
      <alignment horizontal="left"/>
    </xf>
    <xf numFmtId="0" fontId="27" fillId="47" borderId="15" xfId="75" applyFont="1" applyFill="1" applyBorder="1" applyAlignment="1" applyProtection="1"/>
    <xf numFmtId="0" fontId="25" fillId="47" borderId="1" xfId="90" applyFont="1" applyFill="1" applyBorder="1" applyAlignment="1">
      <alignment horizontal="left"/>
    </xf>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1" fillId="47" borderId="28" xfId="90" applyFont="1" applyFill="1" applyBorder="1" applyAlignment="1">
      <alignment horizontal="left"/>
    </xf>
    <xf numFmtId="0" fontId="30" fillId="47" borderId="57" xfId="90" applyFont="1" applyFill="1" applyBorder="1" applyAlignment="1">
      <alignment horizontal="left"/>
    </xf>
    <xf numFmtId="0" fontId="31" fillId="47" borderId="14" xfId="90" applyFont="1" applyFill="1" applyBorder="1" applyAlignment="1">
      <alignment horizontal="left"/>
    </xf>
    <xf numFmtId="0" fontId="31" fillId="47" borderId="1"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9" fontId="0" fillId="0" borderId="72" xfId="0" applyNumberForma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25" fillId="47" borderId="0" xfId="90" applyNumberFormat="1" applyFont="1" applyFill="1" applyBorder="1" applyAlignment="1">
      <alignment horizontal="left" indent="1"/>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9" fillId="47" borderId="0" xfId="92" applyFill="1" applyAlignment="1">
      <alignment wrapText="1"/>
    </xf>
    <xf numFmtId="0" fontId="0" fillId="47" borderId="0" xfId="0" applyFill="1" applyAlignment="1">
      <alignment wrapText="1"/>
    </xf>
    <xf numFmtId="0" fontId="27" fillId="47" borderId="94" xfId="75" applyFont="1" applyFill="1" applyBorder="1" applyAlignment="1" applyProtection="1"/>
    <xf numFmtId="0" fontId="25" fillId="47" borderId="95" xfId="90" applyFont="1" applyFill="1" applyBorder="1" applyAlignment="1">
      <alignment horizontal="left"/>
    </xf>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7" xfId="90" applyFont="1" applyFill="1" applyBorder="1" applyAlignment="1">
      <alignment horizontal="left"/>
    </xf>
    <xf numFmtId="0" fontId="25" fillId="47" borderId="94" xfId="90" applyFont="1" applyFill="1" applyBorder="1" applyAlignment="1">
      <alignment horizontal="left"/>
    </xf>
    <xf numFmtId="0" fontId="27" fillId="47" borderId="98" xfId="75" applyFont="1" applyFill="1" applyBorder="1" applyAlignment="1" applyProtection="1"/>
    <xf numFmtId="0" fontId="240" fillId="0" borderId="0" xfId="90" applyFont="1" applyFill="1" applyBorder="1" applyAlignment="1">
      <alignment horizontal="left"/>
    </xf>
    <xf numFmtId="0" fontId="241" fillId="0" borderId="0" xfId="0" applyFont="1" applyFill="1"/>
    <xf numFmtId="0" fontId="242" fillId="0" borderId="94" xfId="75" applyFont="1" applyFill="1" applyBorder="1" applyAlignment="1" applyProtection="1"/>
    <xf numFmtId="0" fontId="242"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1" fillId="47" borderId="97" xfId="90" applyFont="1" applyFill="1" applyBorder="1" applyAlignment="1">
      <alignment horizontal="left"/>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3" fillId="0" borderId="0" xfId="0" applyNumberFormat="1" applyFont="1" applyFill="1" applyBorder="1" applyAlignment="1">
      <alignment vertical="center"/>
    </xf>
    <xf numFmtId="0" fontId="0" fillId="47" borderId="0" xfId="0" applyFill="1" applyBorder="1" applyAlignment="1">
      <alignment wrapText="1"/>
    </xf>
    <xf numFmtId="0" fontId="0" fillId="47" borderId="15" xfId="0" applyFill="1" applyBorder="1" applyAlignment="1">
      <alignment wrapText="1"/>
    </xf>
    <xf numFmtId="0" fontId="0" fillId="47" borderId="94" xfId="0" applyFill="1" applyBorder="1" applyAlignment="1">
      <alignment wrapText="1"/>
    </xf>
    <xf numFmtId="0" fontId="0" fillId="47" borderId="98" xfId="0" applyFill="1" applyBorder="1" applyAlignment="1">
      <alignment wrapText="1"/>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4" fillId="0" borderId="66" xfId="0" applyFont="1" applyBorder="1" applyAlignment="1">
      <alignment horizontal="center"/>
    </xf>
    <xf numFmtId="0" fontId="244" fillId="0" borderId="69" xfId="0" applyFont="1" applyBorder="1" applyAlignment="1">
      <alignment horizontal="center"/>
    </xf>
    <xf numFmtId="0" fontId="244" fillId="0" borderId="72" xfId="0" applyFont="1" applyBorder="1" applyAlignment="1">
      <alignment horizontal="center"/>
    </xf>
    <xf numFmtId="0" fontId="21" fillId="0" borderId="0" xfId="0" applyFont="1" applyAlignment="1">
      <alignment horizontal="center"/>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5"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5" fillId="3" borderId="3" xfId="2" applyNumberFormat="1" applyFont="1" applyFill="1" applyBorder="1" applyAlignment="1">
      <alignment horizontal="center" vertical="center"/>
    </xf>
    <xf numFmtId="0" fontId="25" fillId="47" borderId="114" xfId="90" applyFont="1" applyFill="1" applyBorder="1" applyAlignment="1">
      <alignment horizontal="left"/>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5" fillId="47" borderId="25" xfId="90" applyNumberFormat="1" applyFont="1" applyFill="1" applyBorder="1" applyAlignment="1">
      <alignment horizontal="left" indent="1"/>
    </xf>
    <xf numFmtId="0" fontId="26" fillId="47" borderId="115" xfId="75" applyFont="1" applyFill="1" applyBorder="1" applyAlignment="1" applyProtection="1"/>
    <xf numFmtId="0" fontId="244" fillId="117" borderId="0" xfId="0" applyFont="1" applyFill="1" applyAlignment="1">
      <alignment horizontal="left" vertical="top"/>
    </xf>
    <xf numFmtId="0" fontId="244"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4"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25" fillId="47" borderId="25" xfId="90" applyFont="1" applyFill="1" applyBorder="1" applyAlignment="1">
      <alignment horizontal="left" indent="1"/>
    </xf>
    <xf numFmtId="0" fontId="25" fillId="47" borderId="0" xfId="90" applyFont="1" applyFill="1" applyBorder="1" applyAlignment="1">
      <alignment horizontal="left" indent="1"/>
    </xf>
    <xf numFmtId="0" fontId="25" fillId="47" borderId="94" xfId="90" applyFont="1" applyFill="1" applyBorder="1" applyAlignment="1">
      <alignment horizontal="left" indent="1"/>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0" fontId="0" fillId="47" borderId="57" xfId="0" applyFill="1" applyBorder="1" applyAlignment="1">
      <alignment wrapText="1"/>
    </xf>
    <xf numFmtId="0" fontId="0" fillId="47" borderId="115" xfId="0" applyFill="1" applyBorder="1" applyAlignment="1">
      <alignment wrapText="1"/>
    </xf>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4"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4"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4"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4"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4" fillId="117" borderId="0" xfId="0" applyFont="1" applyFill="1"/>
    <xf numFmtId="0" fontId="244" fillId="117" borderId="0" xfId="0" applyFont="1" applyFill="1" applyAlignment="1">
      <alignment horizontal="left" indent="1"/>
    </xf>
    <xf numFmtId="0" fontId="244"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4" fillId="117" borderId="0" xfId="0" applyFont="1" applyFill="1" applyAlignment="1">
      <alignment vertical="top"/>
    </xf>
    <xf numFmtId="0" fontId="244"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4"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0" fillId="47" borderId="0" xfId="0" applyFill="1" applyAlignment="1">
      <alignment horizontal="left" indent="1"/>
    </xf>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6" fillId="0" borderId="77" xfId="7" applyFont="1" applyFill="1" applyBorder="1" applyAlignment="1">
      <alignment horizontal="center" vertical="center" wrapText="1"/>
    </xf>
    <xf numFmtId="0" fontId="246"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49" fontId="5" fillId="38" borderId="77" xfId="77" applyNumberFormat="1" applyFont="1" applyFill="1" applyBorder="1" applyProtection="1"/>
    <xf numFmtId="349" fontId="5" fillId="38" borderId="78" xfId="77" applyNumberFormat="1" applyFont="1" applyFill="1" applyBorder="1" applyProtection="1"/>
    <xf numFmtId="0" fontId="0" fillId="47" borderId="25" xfId="0" applyFill="1" applyBorder="1" applyAlignment="1">
      <alignment horizontal="left" indent="1"/>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4" fillId="0" borderId="0" xfId="0" applyFont="1" applyFill="1" applyAlignment="1">
      <alignment horizontal="left" indent="1"/>
    </xf>
    <xf numFmtId="0" fontId="244" fillId="0" borderId="0" xfId="0" applyFont="1" applyFill="1" applyAlignment="1">
      <alignment wrapText="1"/>
    </xf>
    <xf numFmtId="0" fontId="244"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7" xfId="0" applyNumberFormat="1" applyFill="1" applyBorder="1" applyAlignment="1">
      <alignment horizontal="right" vertical="top"/>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40" fillId="46" borderId="121" xfId="48236" applyNumberFormat="1" applyFont="1" applyFill="1" applyBorder="1" applyAlignment="1">
      <alignment horizontal="center" vertical="top" wrapText="1"/>
    </xf>
    <xf numFmtId="0" fontId="240" fillId="46" borderId="121" xfId="48236" applyFont="1" applyFill="1" applyBorder="1" applyAlignment="1">
      <alignment vertical="top" wrapText="1"/>
    </xf>
    <xf numFmtId="0" fontId="240"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6" fillId="51" borderId="76" xfId="2" applyNumberFormat="1" applyFont="1" applyFill="1" applyBorder="1" applyAlignment="1">
      <alignment horizontal="right" vertical="center"/>
    </xf>
    <xf numFmtId="172" fontId="6" fillId="51" borderId="78" xfId="2" applyNumberFormat="1" applyFont="1" applyFill="1" applyBorder="1" applyAlignment="1">
      <alignment horizontal="right" vertical="center"/>
    </xf>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172" fontId="0" fillId="51" borderId="76" xfId="0" applyNumberFormat="1" applyFont="1" applyFill="1" applyBorder="1" applyAlignment="1">
      <alignment horizontal="right" vertical="center"/>
    </xf>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47" fillId="47" borderId="94" xfId="90" applyNumberFormat="1" applyFont="1" applyFill="1" applyBorder="1" applyAlignment="1">
      <alignment horizontal="left" indent="1"/>
    </xf>
    <xf numFmtId="0" fontId="0" fillId="3" borderId="0" xfId="0" applyFont="1" applyFill="1" applyAlignment="1">
      <alignment horizontal="left" vertical="top" indent="1"/>
    </xf>
    <xf numFmtId="0" fontId="0" fillId="3" borderId="0" xfId="0" applyFont="1" applyFill="1" applyAlignment="1">
      <alignment horizontal="left" vertical="top" indent="1"/>
    </xf>
    <xf numFmtId="0" fontId="5" fillId="119" borderId="0" xfId="0" applyFont="1" applyFill="1" applyBorder="1" applyAlignment="1" applyProtection="1">
      <alignment horizontal="left" vertical="center" indent="1"/>
    </xf>
    <xf numFmtId="350" fontId="0" fillId="3" borderId="77" xfId="0" applyNumberFormat="1" applyFill="1" applyBorder="1" applyAlignment="1">
      <alignment horizontal="right" vertical="top"/>
    </xf>
    <xf numFmtId="0" fontId="0" fillId="3" borderId="0" xfId="0" applyFont="1" applyFill="1" applyAlignment="1">
      <alignment horizontal="left" vertical="top" indent="1"/>
    </xf>
    <xf numFmtId="9" fontId="0" fillId="0" borderId="0" xfId="77" applyFont="1"/>
    <xf numFmtId="170" fontId="0" fillId="0" borderId="0" xfId="77" applyNumberFormat="1" applyFont="1"/>
    <xf numFmtId="170" fontId="0" fillId="0" borderId="0" xfId="77" applyNumberFormat="1" applyFont="1" applyFill="1"/>
    <xf numFmtId="170" fontId="24" fillId="0" borderId="0" xfId="77" applyNumberFormat="1" applyFont="1"/>
    <xf numFmtId="0" fontId="0" fillId="0" borderId="67"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3" borderId="112" xfId="0" applyFill="1" applyBorder="1" applyAlignment="1">
      <alignment horizontal="left" vertical="center" wrapText="1" indent="1"/>
    </xf>
    <xf numFmtId="0" fontId="0" fillId="3" borderId="89"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0" borderId="10"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0" borderId="30" xfId="0" applyBorder="1" applyAlignment="1">
      <alignment horizontal="center"/>
    </xf>
    <xf numFmtId="0" fontId="29" fillId="0" borderId="10" xfId="92" applyBorder="1" applyAlignment="1">
      <alignment horizontal="center"/>
    </xf>
    <xf numFmtId="0" fontId="29" fillId="0" borderId="32" xfId="92" applyBorder="1" applyAlignment="1">
      <alignment horizontal="center"/>
    </xf>
    <xf numFmtId="0" fontId="29" fillId="0" borderId="11"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53" borderId="0" xfId="0" applyFill="1" applyAlignment="1">
      <alignment horizontal="left" wrapText="1"/>
    </xf>
    <xf numFmtId="3" fontId="0" fillId="0" borderId="11" xfId="0" applyNumberFormat="1" applyBorder="1" applyAlignment="1">
      <alignment horizontal="center" vertical="center" wrapTex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3" borderId="0" xfId="0" applyFont="1" applyFill="1" applyAlignment="1">
      <alignment horizontal="left" vertical="top" wrapText="1"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48238">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3" xfId="404"/>
    <cellStyle name="% 2 2 3 2" xfId="405"/>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3" xfId="668"/>
    <cellStyle name="% 4 4" xfId="669"/>
    <cellStyle name="% 4 5" xfId="670"/>
    <cellStyle name="% 4 6" xfId="671"/>
    <cellStyle name="% 4 7" xfId="672"/>
    <cellStyle name="% 4 8" xfId="673"/>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3" xfId="79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Rollover FBPQ (Capex)" xfId="842"/>
    <cellStyle name="%_Non formula" xfId="843"/>
    <cellStyle name="%_Opex Consolidation v0.4" xfId="844"/>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_1.5 Opex Reconciliation NG" xfId="910"/>
    <cellStyle name="%_VR Pensions Opex tables" xfId="911"/>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8 GSO Capex RRP (detail)" xfId="92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post TIC 1 Jun" xfId="998"/>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_0910 GSO Capex RRP - Final (Detail) v2 220710" xfId="1013"/>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May-10 BP10+ v5" xfId="1071"/>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2" xfId="1232"/>
    <cellStyle name="=C:\WINNT\SYSTEM32\COMMAND.COM 12 2" xfId="1233"/>
    <cellStyle name="=C:\WINNT\SYSTEM32\COMMAND.COM 13" xfId="1234"/>
    <cellStyle name="=C:\WINNT\SYSTEM32\COMMAND.COM 14" xfId="1235"/>
    <cellStyle name="=C:\WINNT\SYSTEM32\COMMAND.COM 15" xfId="1236"/>
    <cellStyle name="=C:\WINNT\SYSTEM32\COMMAND.COM 16" xfId="1237"/>
    <cellStyle name="=C:\WINNT\SYSTEM32\COMMAND.COM 17" xfId="1238"/>
    <cellStyle name="=C:\WINNT\SYSTEM32\COMMAND.COM 18" xfId="1239"/>
    <cellStyle name="=C:\WINNT\SYSTEM32\COMMAND.COM 19" xfId="1240"/>
    <cellStyle name="=C:\WINNT\SYSTEM32\COMMAND.COM 2" xfId="1241"/>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4" xfId="1292"/>
    <cellStyle name="=C:\WINNT\SYSTEM32\COMMAND.COM 2 5" xfId="1293"/>
    <cellStyle name="=C:\WINNT\SYSTEM32\COMMAND.COM 2 6" xfId="1294"/>
    <cellStyle name="=C:\WINNT\SYSTEM32\COMMAND.COM 2 7" xfId="1295"/>
    <cellStyle name="=C:\WINNT\SYSTEM32\COMMAND.COM 2 8" xfId="1296"/>
    <cellStyle name="=C:\WINNT\SYSTEM32\COMMAND.COM 2 9" xfId="1297"/>
    <cellStyle name="=C:\WINNT\SYSTEM32\COMMAND.COM 20" xfId="1298"/>
    <cellStyle name="=C:\WINNT\SYSTEM32\COMMAND.COM 21" xfId="1299"/>
    <cellStyle name="=C:\WINNT\SYSTEM32\COMMAND.COM 22" xfId="1300"/>
    <cellStyle name="=C:\WINNT\SYSTEM32\COMMAND.COM 23" xfId="1301"/>
    <cellStyle name="=C:\WINNT\SYSTEM32\COMMAND.COM 24" xfId="1302"/>
    <cellStyle name="=C:\WINNT\SYSTEM32\COMMAND.COM 25" xfId="1303"/>
    <cellStyle name="=C:\WINNT\SYSTEM32\COMMAND.COM 26" xfId="1304"/>
    <cellStyle name="=C:\WINNT\SYSTEM32\COMMAND.COM 27" xfId="1305"/>
    <cellStyle name="=C:\WINNT\SYSTEM32\COMMAND.COM 28" xfId="1306"/>
    <cellStyle name="=C:\WINNT\SYSTEM32\COMMAND.COM 29" xfId="130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1" xfId="1316"/>
    <cellStyle name="=C:\WINNT\SYSTEM32\COMMAND.COM 32" xfId="1317"/>
    <cellStyle name="=C:\WINNT\SYSTEM32\COMMAND.COM 33" xfId="1318"/>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8" xfId="1581"/>
    <cellStyle name="=C:\WINNT\SYSTEM32\COMMAND.COM 9" xfId="1582"/>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3" xfId="1669"/>
    <cellStyle name="20% - Accent1 3 2" xfId="1670"/>
    <cellStyle name="20% - Accent1 3 3" xfId="1671"/>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3" xfId="1699"/>
    <cellStyle name="20% - Accent2 3 2" xfId="1700"/>
    <cellStyle name="20% - Accent2 3 3" xfId="1701"/>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3" xfId="1729"/>
    <cellStyle name="20% - Accent3 3 2" xfId="1730"/>
    <cellStyle name="20% - Accent3 3 3" xfId="1731"/>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3" xfId="1759"/>
    <cellStyle name="20% - Accent4 3 2" xfId="1760"/>
    <cellStyle name="20% - Accent4 3 3" xfId="1761"/>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3" xfId="1789"/>
    <cellStyle name="20% - Accent5 3 2" xfId="1790"/>
    <cellStyle name="20% - Accent5 3 3" xfId="1791"/>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3" xfId="1819"/>
    <cellStyle name="20% - Accent6 3 2" xfId="1820"/>
    <cellStyle name="20% - Accent6 3 3" xfId="1821"/>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3" xfId="1855"/>
    <cellStyle name="40% - Accent1 3 2" xfId="1856"/>
    <cellStyle name="40% - Accent1 3 3" xfId="1857"/>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3" xfId="1885"/>
    <cellStyle name="40% - Accent2 3 2" xfId="1886"/>
    <cellStyle name="40% - Accent2 3 3" xfId="1887"/>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3" xfId="1915"/>
    <cellStyle name="40% - Accent3 3 2" xfId="1916"/>
    <cellStyle name="40% - Accent3 3 3" xfId="1917"/>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3" xfId="1945"/>
    <cellStyle name="40% - Accent4 3 2" xfId="1946"/>
    <cellStyle name="40% - Accent4 3 3" xfId="1947"/>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3" xfId="1975"/>
    <cellStyle name="40% - Accent5 3 2" xfId="1976"/>
    <cellStyle name="40% - Accent5 3 3" xfId="1977"/>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3" xfId="2005"/>
    <cellStyle name="40% - Accent6 3 2" xfId="2006"/>
    <cellStyle name="40% - Accent6 3 3" xfId="2007"/>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3" xfId="2035"/>
    <cellStyle name="60% - Accent1 3 2" xfId="2036"/>
    <cellStyle name="60% - Accent1 3 3" xfId="2037"/>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3" xfId="2065"/>
    <cellStyle name="60% - Accent2 3 2" xfId="2066"/>
    <cellStyle name="60% - Accent2 3 3" xfId="2067"/>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3" xfId="2095"/>
    <cellStyle name="60% - Accent3 3 2" xfId="2096"/>
    <cellStyle name="60% - Accent3 3 3" xfId="2097"/>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3" xfId="2125"/>
    <cellStyle name="60% - Accent4 3 2" xfId="2126"/>
    <cellStyle name="60% - Accent4 3 3" xfId="2127"/>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3" xfId="2155"/>
    <cellStyle name="60% - Accent5 3 2" xfId="2156"/>
    <cellStyle name="60% - Accent5 3 3" xfId="2157"/>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3" xfId="2185"/>
    <cellStyle name="60% - Accent6 3 2" xfId="2186"/>
    <cellStyle name="60% - Accent6 3 3" xfId="2187"/>
    <cellStyle name="60% - Accent6 4" xfId="2188"/>
    <cellStyle name="60% - Accent6 5" xfId="2189"/>
    <cellStyle name="60% - Accent6 6" xfId="2190"/>
    <cellStyle name="60% - Accent6 7" xfId="2191"/>
    <cellStyle name="aaa" xfId="2192"/>
    <cellStyle name="Accent1 - 20%" xfId="11"/>
    <cellStyle name="Accent1 - 20% 2" xfId="2193"/>
    <cellStyle name="Accent1 - 40%" xfId="12"/>
    <cellStyle name="Accent1 - 40% 2" xfId="2194"/>
    <cellStyle name="Accent1 - 60%" xfId="13"/>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3" xfId="2218"/>
    <cellStyle name="Accent1 3 2" xfId="2219"/>
    <cellStyle name="Accent1 3 3" xfId="2220"/>
    <cellStyle name="Accent1 4" xfId="2221"/>
    <cellStyle name="Accent1 5" xfId="2222"/>
    <cellStyle name="Accent1 6" xfId="2223"/>
    <cellStyle name="Accent1 7" xfId="2224"/>
    <cellStyle name="Accent2 - 20%" xfId="14"/>
    <cellStyle name="Accent2 - 20% 2" xfId="2225"/>
    <cellStyle name="Accent2 - 40%" xfId="15"/>
    <cellStyle name="Accent2 - 40% 2" xfId="2226"/>
    <cellStyle name="Accent2 - 60%" xfId="16"/>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3" xfId="2250"/>
    <cellStyle name="Accent2 3 2" xfId="2251"/>
    <cellStyle name="Accent2 3 3" xfId="2252"/>
    <cellStyle name="Accent2 4" xfId="2253"/>
    <cellStyle name="Accent2 5" xfId="2254"/>
    <cellStyle name="Accent2 6" xfId="2255"/>
    <cellStyle name="Accent2 7" xfId="2256"/>
    <cellStyle name="Accent3 - 20%" xfId="17"/>
    <cellStyle name="Accent3 - 20% 2" xfId="2257"/>
    <cellStyle name="Accent3 - 40%" xfId="18"/>
    <cellStyle name="Accent3 - 40% 2" xfId="2258"/>
    <cellStyle name="Accent3 - 60%" xfId="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3" xfId="2282"/>
    <cellStyle name="Accent3 3 2" xfId="2283"/>
    <cellStyle name="Accent3 3 3" xfId="2284"/>
    <cellStyle name="Accent3 4" xfId="2285"/>
    <cellStyle name="Accent3 5" xfId="2286"/>
    <cellStyle name="Accent3 6" xfId="2287"/>
    <cellStyle name="Accent3 7" xfId="2288"/>
    <cellStyle name="Accent4 - 20%" xfId="20"/>
    <cellStyle name="Accent4 - 20% 2" xfId="2289"/>
    <cellStyle name="Accent4 - 40%" xfId="21"/>
    <cellStyle name="Accent4 - 40% 2" xfId="2290"/>
    <cellStyle name="Accent4 - 60%" xfId="22"/>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3" xfId="2314"/>
    <cellStyle name="Accent4 3 2" xfId="2315"/>
    <cellStyle name="Accent4 3 3" xfId="2316"/>
    <cellStyle name="Accent4 4" xfId="2317"/>
    <cellStyle name="Accent4 5" xfId="2318"/>
    <cellStyle name="Accent4 6" xfId="2319"/>
    <cellStyle name="Accent4 7" xfId="2320"/>
    <cellStyle name="Accent5 - 20%" xfId="23"/>
    <cellStyle name="Accent5 - 20% 2" xfId="2321"/>
    <cellStyle name="Accent5 - 40%" xfId="24"/>
    <cellStyle name="Accent5 - 40% 2" xfId="2322"/>
    <cellStyle name="Accent5 - 60%" xfId="25"/>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3" xfId="2346"/>
    <cellStyle name="Accent5 3 2" xfId="2347"/>
    <cellStyle name="Accent5 3 3" xfId="2348"/>
    <cellStyle name="Accent5 4" xfId="2349"/>
    <cellStyle name="Accent5 5" xfId="2350"/>
    <cellStyle name="Accent5 6" xfId="2351"/>
    <cellStyle name="Accent5 7" xfId="2352"/>
    <cellStyle name="Accent6 - 20%" xfId="26"/>
    <cellStyle name="Accent6 - 20% 2" xfId="2353"/>
    <cellStyle name="Accent6 - 40%" xfId="27"/>
    <cellStyle name="Accent6 - 40% 2" xfId="2354"/>
    <cellStyle name="Accent6 - 60%" xfId="28"/>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3" xfId="2378"/>
    <cellStyle name="Accent6 3 2" xfId="2379"/>
    <cellStyle name="Accent6 3 3" xfId="2380"/>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7" xfId="2470"/>
    <cellStyle name="Bad 2 8" xfId="2471"/>
    <cellStyle name="Bad 2 9" xfId="2472"/>
    <cellStyle name="Bad 3" xfId="2473"/>
    <cellStyle name="Bad 3 10" xfId="2474"/>
    <cellStyle name="Bad 3 11" xfId="2475"/>
    <cellStyle name="Bad 3 12" xfId="2476"/>
    <cellStyle name="Bad 3 13" xfId="2477"/>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3" xfId="2590"/>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0" xfId="2604"/>
    <cellStyle name="Calculation 2 2 31" xfId="2605"/>
    <cellStyle name="Calculation 2 2 32" xfId="2606"/>
    <cellStyle name="Calculation 2 2 4" xfId="2607"/>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3" xfId="2636"/>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0" xfId="2650"/>
    <cellStyle name="Calculation 2 3 31" xfId="2651"/>
    <cellStyle name="Calculation 2 3 32" xfId="2652"/>
    <cellStyle name="Calculation 2 3 4" xfId="2653"/>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3" xfId="2679"/>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0" xfId="2693"/>
    <cellStyle name="Calculation 2 4 31" xfId="2694"/>
    <cellStyle name="Calculation 2 4 32" xfId="2695"/>
    <cellStyle name="Calculation 2 4 4" xfId="2696"/>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0" xfId="2729"/>
    <cellStyle name="Calculation 2 5 31" xfId="2730"/>
    <cellStyle name="Calculation 2 5 32" xfId="2731"/>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9" xfId="2779"/>
    <cellStyle name="Calculation 2 9 2" xfId="2780"/>
    <cellStyle name="Calculation 3" xfId="2781"/>
    <cellStyle name="Calculation 3 2" xfId="2782"/>
    <cellStyle name="Calculation 3 2 2" xfId="2783"/>
    <cellStyle name="Calculation 3 3" xfId="2784"/>
    <cellStyle name="Calculation 3 3 2" xfId="2785"/>
    <cellStyle name="Calculation 3 4" xfId="2786"/>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3" xfId="2819"/>
    <cellStyle name="Check Cell 3 2" xfId="2820"/>
    <cellStyle name="Check Cell 3 3" xfId="2821"/>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2]" xfId="2851"/>
    <cellStyle name="Comma [3]" xfId="2852"/>
    <cellStyle name="Comma 0" xfId="2853"/>
    <cellStyle name="Comma 0*" xfId="2854"/>
    <cellStyle name="Comma 0_Model_Sep_2_02" xfId="2855"/>
    <cellStyle name="Comma 10" xfId="2856"/>
    <cellStyle name="Comma 11" xfId="2857"/>
    <cellStyle name="Comma 12" xfId="2858"/>
    <cellStyle name="Comma 13" xfId="2859"/>
    <cellStyle name="Comma 14" xfId="2860"/>
    <cellStyle name="Comma 15" xfId="2861"/>
    <cellStyle name="Comma 17" xfId="2862"/>
    <cellStyle name="Comma 18" xfId="2863"/>
    <cellStyle name="Comma 2" xfId="2"/>
    <cellStyle name="Comma 2 10" xfId="2864"/>
    <cellStyle name="Comma 2 10 10" xfId="2865"/>
    <cellStyle name="Comma 2 10 11" xfId="2866"/>
    <cellStyle name="Comma 2 10 12" xfId="2867"/>
    <cellStyle name="Comma 2 10 2" xfId="2868"/>
    <cellStyle name="Comma 2 10 2 2" xfId="2869"/>
    <cellStyle name="Comma 2 10 2 3" xfId="2870"/>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0" xfId="2903"/>
    <cellStyle name="Comma 2 121" xfId="2904"/>
    <cellStyle name="Comma 2 122" xfId="2905"/>
    <cellStyle name="Comma 2 123" xfId="2906"/>
    <cellStyle name="Comma 2 124" xfId="2907"/>
    <cellStyle name="Comma 2 125" xfId="2908"/>
    <cellStyle name="Comma 2 126" xfId="2909"/>
    <cellStyle name="Comma 2 13" xfId="2910"/>
    <cellStyle name="Comma 2 14" xfId="2911"/>
    <cellStyle name="Comma 2 15" xfId="2912"/>
    <cellStyle name="Comma 2 16" xfId="2913"/>
    <cellStyle name="Comma 2 17" xfId="2914"/>
    <cellStyle name="Comma 2 18" xfId="2915"/>
    <cellStyle name="Comma 2 19" xfId="2916"/>
    <cellStyle name="Comma 2 2" xfId="6"/>
    <cellStyle name="Comma 2 2 10" xfId="2917"/>
    <cellStyle name="Comma 2 2 11" xfId="2918"/>
    <cellStyle name="Comma 2 2 12" xfId="2919"/>
    <cellStyle name="Comma 2 2 13" xfId="2920"/>
    <cellStyle name="Comma 2 2 14" xfId="2921"/>
    <cellStyle name="Comma 2 2 15" xfId="2922"/>
    <cellStyle name="Comma 2 2 16" xfId="2923"/>
    <cellStyle name="Comma 2 2 17" xfId="2924"/>
    <cellStyle name="Comma 2 2 18" xfId="2925"/>
    <cellStyle name="Comma 2 2 19" xfId="2926"/>
    <cellStyle name="Comma 2 2 2" xfId="2927"/>
    <cellStyle name="Comma 2 2 2 10" xfId="2928"/>
    <cellStyle name="Comma 2 2 2 11" xfId="2929"/>
    <cellStyle name="Comma 2 2 2 12" xfId="2930"/>
    <cellStyle name="Comma 2 2 2 13" xfId="2931"/>
    <cellStyle name="Comma 2 2 2 14" xfId="2932"/>
    <cellStyle name="Comma 2 2 2 15" xfId="2933"/>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3" xfId="3021"/>
    <cellStyle name="Comma 2 2 2 2 5" xfId="3022"/>
    <cellStyle name="Comma 2 2 2 2 5 2" xfId="3023"/>
    <cellStyle name="Comma 2 2 2 2 5 2 2" xfId="3024"/>
    <cellStyle name="Comma 2 2 2 2 6" xfId="3025"/>
    <cellStyle name="Comma 2 2 2 2 7" xfId="3026"/>
    <cellStyle name="Comma 2 2 2 2 7 2" xfId="3027"/>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0" xfId="3055"/>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0" xfId="3123"/>
    <cellStyle name="Comma 2 2 50 2" xfId="3124"/>
    <cellStyle name="Comma 2 2 50 2 2" xfId="3125"/>
    <cellStyle name="Comma 2 2 51" xfId="3126"/>
    <cellStyle name="Comma 2 2 52" xfId="3127"/>
    <cellStyle name="Comma 2 2 52 2" xfId="3128"/>
    <cellStyle name="Comma 2 2 6" xfId="3129"/>
    <cellStyle name="Comma 2 2 7" xfId="3130"/>
    <cellStyle name="Comma 2 2 8" xfId="3131"/>
    <cellStyle name="Comma 2 2 9" xfId="3132"/>
    <cellStyle name="Comma 2 2_3.1.2 DB Pension Detail" xfId="3133"/>
    <cellStyle name="Comma 2 20" xfId="3134"/>
    <cellStyle name="Comma 2 21" xfId="3135"/>
    <cellStyle name="Comma 2 22" xfId="313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2" xfId="3163"/>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2" xfId="3189"/>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3" xfId="3458"/>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2" xfId="3472"/>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4" xfId="3482"/>
    <cellStyle name="Comma 3 2 5" xfId="3483"/>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3" xfId="3498"/>
    <cellStyle name="Comma 3 3 4" xfId="3499"/>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2" xfId="4126"/>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9" xfId="4135"/>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2" xfId="30"/>
    <cellStyle name="Emphasis 3" xfId="31"/>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3" xfId="4274"/>
    <cellStyle name="Explanatory Text 3 2" xfId="4275"/>
    <cellStyle name="Explanatory Text 3 3" xfId="4276"/>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3" xfId="4357"/>
    <cellStyle name="Good 3 2" xfId="4358"/>
    <cellStyle name="Good 3 3" xfId="4359"/>
    <cellStyle name="Good 4" xfId="4360"/>
    <cellStyle name="Good 5" xfId="4361"/>
    <cellStyle name="Good 6" xfId="4362"/>
    <cellStyle name="Good 7" xfId="4363"/>
    <cellStyle name="gray text cells" xfId="4364"/>
    <cellStyle name="Grey" xfId="4365"/>
    <cellStyle name="GreyOrWhite" xfId="4366"/>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3" xfId="4396"/>
    <cellStyle name="Heading 1 3 2" xfId="4397"/>
    <cellStyle name="Heading 1 3 3" xfId="439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3" xfId="4426"/>
    <cellStyle name="Heading 2 3 2" xfId="4427"/>
    <cellStyle name="Heading 2 3 3" xfId="4428"/>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3" xfId="4456"/>
    <cellStyle name="Heading 3 3 2" xfId="4457"/>
    <cellStyle name="Heading 3 3 3" xfId="4458"/>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3" xfId="4486"/>
    <cellStyle name="Heading 4 3 2" xfId="4487"/>
    <cellStyle name="Heading 4 3 3" xfId="4488"/>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3" xfId="4589"/>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0" xfId="4603"/>
    <cellStyle name="Input 2 2 31" xfId="4604"/>
    <cellStyle name="Input 2 2 32" xfId="4605"/>
    <cellStyle name="Input 2 2 4" xfId="4606"/>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3" xfId="4635"/>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0" xfId="4649"/>
    <cellStyle name="Input 2 3 31" xfId="4650"/>
    <cellStyle name="Input 2 3 32" xfId="4651"/>
    <cellStyle name="Input 2 3 4" xfId="4652"/>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3" xfId="467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0" xfId="4692"/>
    <cellStyle name="Input 2 4 31" xfId="4693"/>
    <cellStyle name="Input 2 4 32" xfId="4694"/>
    <cellStyle name="Input 2 4 4" xfId="4695"/>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0" xfId="4728"/>
    <cellStyle name="Input 2 5 31" xfId="4729"/>
    <cellStyle name="Input 2 5 32" xfId="4730"/>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3" xfId="4749"/>
    <cellStyle name="Input 2 6 3 2" xfId="4750"/>
    <cellStyle name="Input 2 6 3 2 2" xfId="4751"/>
    <cellStyle name="Input 2 6 3 2 2 2" xfId="4752"/>
    <cellStyle name="Input 2 6 3 2 3" xfId="4753"/>
    <cellStyle name="Input 2 6 3 3" xfId="4754"/>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7" xfId="4764"/>
    <cellStyle name="Input 2 7 2" xfId="4765"/>
    <cellStyle name="Input 2 7 2 2" xfId="4766"/>
    <cellStyle name="Input 2 7 2 2 2" xfId="4767"/>
    <cellStyle name="Input 2 7 2 2 3" xfId="4768"/>
    <cellStyle name="Input 2 7 2 3" xfId="4769"/>
    <cellStyle name="Input 2 7 3" xfId="4770"/>
    <cellStyle name="Input 2 8" xfId="4771"/>
    <cellStyle name="Input 2 8 2" xfId="4772"/>
    <cellStyle name="Input 2 8 2 2" xfId="4773"/>
    <cellStyle name="Input 2 8 2 2 2" xfId="4774"/>
    <cellStyle name="Input 2 8 2 2 3" xfId="4775"/>
    <cellStyle name="Input 2 8 2 3" xfId="4776"/>
    <cellStyle name="Input 2 8 3" xfId="4777"/>
    <cellStyle name="Input 2 9" xfId="4778"/>
    <cellStyle name="Input 2 9 2" xfId="4779"/>
    <cellStyle name="Input 3" xfId="4780"/>
    <cellStyle name="Input 3 2" xfId="4781"/>
    <cellStyle name="Input 3 2 2" xfId="4782"/>
    <cellStyle name="Input 3 3" xfId="4783"/>
    <cellStyle name="Input 3 3 2" xfId="4784"/>
    <cellStyle name="Input 3 4" xfId="4785"/>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3" xfId="4838"/>
    <cellStyle name="Linked Cell 3 2" xfId="4839"/>
    <cellStyle name="Linked Cell 3 3" xfId="4840"/>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3" xfId="4914"/>
    <cellStyle name="Neutral 3 2" xfId="4915"/>
    <cellStyle name="Neutral 3 3" xfId="4916"/>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0" xfId="7097"/>
    <cellStyle name="Normal 2 14" xfId="7098"/>
    <cellStyle name="Normal 2 15" xfId="7099"/>
    <cellStyle name="Normal 2 16" xfId="7100"/>
    <cellStyle name="Normal 2 17" xfId="7101"/>
    <cellStyle name="Normal 2 18" xfId="7102"/>
    <cellStyle name="Normal 2 19" xfId="7103"/>
    <cellStyle name="Normal 2 2" xfId="4"/>
    <cellStyle name="Normal 2 2 10" xfId="7104"/>
    <cellStyle name="Normal 2 2 10 10" xfId="7105"/>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0" xfId="7128"/>
    <cellStyle name="Normal 2 2 121" xfId="7129"/>
    <cellStyle name="Normal 2 2 122" xfId="7130"/>
    <cellStyle name="Normal 2 2 123" xfId="7131"/>
    <cellStyle name="Normal 2 2 13" xfId="7132"/>
    <cellStyle name="Normal 2 2 14" xfId="7133"/>
    <cellStyle name="Normal 2 2 15" xfId="7134"/>
    <cellStyle name="Normal 2 2 16" xfId="7135"/>
    <cellStyle name="Normal 2 2 17" xfId="7136"/>
    <cellStyle name="Normal 2 2 18" xfId="7137"/>
    <cellStyle name="Normal 2 2 19" xfId="7138"/>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2" xfId="7158"/>
    <cellStyle name="Normal 2 2 2 13" xfId="7159"/>
    <cellStyle name="Normal 2 2 2 14" xfId="7160"/>
    <cellStyle name="Normal 2 2 2 15" xfId="7161"/>
    <cellStyle name="Normal 2 2 2 16" xfId="7162"/>
    <cellStyle name="Normal 2 2 2 17" xfId="7163"/>
    <cellStyle name="Normal 2 2 2 18" xfId="7164"/>
    <cellStyle name="Normal 2 2 2 19" xfId="7165"/>
    <cellStyle name="Normal 2 2 2 2" xfId="7166"/>
    <cellStyle name="Normal 2 2 2 2 10" xfId="7167"/>
    <cellStyle name="Normal 2 2 2 2 11" xfId="7168"/>
    <cellStyle name="Normal 2 2 2 2 12" xfId="7169"/>
    <cellStyle name="Normal 2 2 2 2 13" xfId="7170"/>
    <cellStyle name="Normal 2 2 2 2 14" xfId="7171"/>
    <cellStyle name="Normal 2 2 2 2 15" xfId="7172"/>
    <cellStyle name="Normal 2 2 2 2 16" xfId="7173"/>
    <cellStyle name="Normal 2 2 2 2 17" xfId="7174"/>
    <cellStyle name="Normal 2 2 2 2 18" xfId="7175"/>
    <cellStyle name="Normal 2 2 2 2 19" xfId="7176"/>
    <cellStyle name="Normal 2 2 2 2 2" xfId="7177"/>
    <cellStyle name="Normal 2 2 2 2 2 10" xfId="7178"/>
    <cellStyle name="Normal 2 2 2 2 2 11" xfId="7179"/>
    <cellStyle name="Normal 2 2 2 2 2 12" xfId="7180"/>
    <cellStyle name="Normal 2 2 2 2 2 13" xfId="7181"/>
    <cellStyle name="Normal 2 2 2 2 2 14" xfId="7182"/>
    <cellStyle name="Normal 2 2 2 2 2 15" xfId="7183"/>
    <cellStyle name="Normal 2 2 2 2 2 16" xfId="7184"/>
    <cellStyle name="Normal 2 2 2 2 2 17" xfId="7185"/>
    <cellStyle name="Normal 2 2 2 2 2 18" xfId="7186"/>
    <cellStyle name="Normal 2 2 2 2 2 19" xfId="7187"/>
    <cellStyle name="Normal 2 2 2 2 2 2" xfId="7188"/>
    <cellStyle name="Normal 2 2 2 2 2 2 10" xfId="7189"/>
    <cellStyle name="Normal 2 2 2 2 2 2 11" xfId="7190"/>
    <cellStyle name="Normal 2 2 2 2 2 2 12" xfId="7191"/>
    <cellStyle name="Normal 2 2 2 2 2 2 13" xfId="7192"/>
    <cellStyle name="Normal 2 2 2 2 2 2 14" xfId="7193"/>
    <cellStyle name="Normal 2 2 2 2 2 2 15" xfId="7194"/>
    <cellStyle name="Normal 2 2 2 2 2 2 16" xfId="7195"/>
    <cellStyle name="Normal 2 2 2 2 2 2 17" xfId="7196"/>
    <cellStyle name="Normal 2 2 2 2 2 2 18" xfId="7197"/>
    <cellStyle name="Normal 2 2 2 2 2 2 19" xfId="7198"/>
    <cellStyle name="Normal 2 2 2 2 2 2 2" xfId="7199"/>
    <cellStyle name="Normal 2 2 2 2 2 2 2 10" xfId="7200"/>
    <cellStyle name="Normal 2 2 2 2 2 2 2 11" xfId="7201"/>
    <cellStyle name="Normal 2 2 2 2 2 2 2 12" xfId="7202"/>
    <cellStyle name="Normal 2 2 2 2 2 2 2 13" xfId="7203"/>
    <cellStyle name="Normal 2 2 2 2 2 2 2 14" xfId="7204"/>
    <cellStyle name="Normal 2 2 2 2 2 2 2 15" xfId="7205"/>
    <cellStyle name="Normal 2 2 2 2 2 2 2 16" xfId="7206"/>
    <cellStyle name="Normal 2 2 2 2 2 2 2 17" xfId="7207"/>
    <cellStyle name="Normal 2 2 2 2 2 2 2 18" xfId="7208"/>
    <cellStyle name="Normal 2 2 2 2 2 2 2 19" xfId="7209"/>
    <cellStyle name="Normal 2 2 2 2 2 2 2 2" xfId="7210"/>
    <cellStyle name="Normal 2 2 2 2 2 2 2 2 10" xfId="7211"/>
    <cellStyle name="Normal 2 2 2 2 2 2 2 2 11" xfId="7212"/>
    <cellStyle name="Normal 2 2 2 2 2 2 2 2 12" xfId="7213"/>
    <cellStyle name="Normal 2 2 2 2 2 2 2 2 13" xfId="7214"/>
    <cellStyle name="Normal 2 2 2 2 2 2 2 2 14" xfId="7215"/>
    <cellStyle name="Normal 2 2 2 2 2 2 2 2 15" xfId="7216"/>
    <cellStyle name="Normal 2 2 2 2 2 2 2 2 16" xfId="7217"/>
    <cellStyle name="Normal 2 2 2 2 2 2 2 2 17" xfId="7218"/>
    <cellStyle name="Normal 2 2 2 2 2 2 2 2 18" xfId="7219"/>
    <cellStyle name="Normal 2 2 2 2 2 2 2 2 19" xfId="7220"/>
    <cellStyle name="Normal 2 2 2 2 2 2 2 2 2" xfId="7221"/>
    <cellStyle name="Normal 2 2 2 2 2 2 2 2 2 10" xfId="7222"/>
    <cellStyle name="Normal 2 2 2 2 2 2 2 2 2 11" xfId="7223"/>
    <cellStyle name="Normal 2 2 2 2 2 2 2 2 2 12" xfId="7224"/>
    <cellStyle name="Normal 2 2 2 2 2 2 2 2 2 13" xfId="7225"/>
    <cellStyle name="Normal 2 2 2 2 2 2 2 2 2 14" xfId="7226"/>
    <cellStyle name="Normal 2 2 2 2 2 2 2 2 2 15" xfId="7227"/>
    <cellStyle name="Normal 2 2 2 2 2 2 2 2 2 16" xfId="7228"/>
    <cellStyle name="Normal 2 2 2 2 2 2 2 2 2 17" xfId="7229"/>
    <cellStyle name="Normal 2 2 2 2 2 2 2 2 2 18" xfId="7230"/>
    <cellStyle name="Normal 2 2 2 2 2 2 2 2 2 2" xfId="7231"/>
    <cellStyle name="Normal 2 2 2 2 2 2 2 2 2 3" xfId="7232"/>
    <cellStyle name="Normal 2 2 2 2 2 2 2 2 2 4" xfId="7233"/>
    <cellStyle name="Normal 2 2 2 2 2 2 2 2 2 5" xfId="7234"/>
    <cellStyle name="Normal 2 2 2 2 2 2 2 2 2 6" xfId="7235"/>
    <cellStyle name="Normal 2 2 2 2 2 2 2 2 2 7" xfId="7236"/>
    <cellStyle name="Normal 2 2 2 2 2 2 2 2 2 8" xfId="7237"/>
    <cellStyle name="Normal 2 2 2 2 2 2 2 2 2 9" xfId="7238"/>
    <cellStyle name="Normal 2 2 2 2 2 2 2 2 3" xfId="7239"/>
    <cellStyle name="Normal 2 2 2 2 2 2 2 2 4" xfId="7240"/>
    <cellStyle name="Normal 2 2 2 2 2 2 2 2 5" xfId="7241"/>
    <cellStyle name="Normal 2 2 2 2 2 2 2 2 6" xfId="7242"/>
    <cellStyle name="Normal 2 2 2 2 2 2 2 2 7" xfId="7243"/>
    <cellStyle name="Normal 2 2 2 2 2 2 2 2 8" xfId="7244"/>
    <cellStyle name="Normal 2 2 2 2 2 2 2 2 9" xfId="7245"/>
    <cellStyle name="Normal 2 2 2 2 2 2 2 2_ELEC SAP FCST UPLOAD" xfId="7246"/>
    <cellStyle name="Normal 2 2 2 2 2 2 2 20" xfId="7247"/>
    <cellStyle name="Normal 2 2 2 2 2 2 2 21" xfId="7248"/>
    <cellStyle name="Normal 2 2 2 2 2 2 2 22" xfId="7249"/>
    <cellStyle name="Normal 2 2 2 2 2 2 2 3" xfId="7250"/>
    <cellStyle name="Normal 2 2 2 2 2 2 2 4" xfId="7251"/>
    <cellStyle name="Normal 2 2 2 2 2 2 2 5" xfId="7252"/>
    <cellStyle name="Normal 2 2 2 2 2 2 2 6" xfId="7253"/>
    <cellStyle name="Normal 2 2 2 2 2 2 2 7" xfId="7254"/>
    <cellStyle name="Normal 2 2 2 2 2 2 2 8" xfId="7255"/>
    <cellStyle name="Normal 2 2 2 2 2 2 2 9" xfId="7256"/>
    <cellStyle name="Normal 2 2 2 2 2 2 2_ELEC SAP FCST UPLOAD" xfId="7257"/>
    <cellStyle name="Normal 2 2 2 2 2 2 20" xfId="7258"/>
    <cellStyle name="Normal 2 2 2 2 2 2 21" xfId="7259"/>
    <cellStyle name="Normal 2 2 2 2 2 2 22" xfId="7260"/>
    <cellStyle name="Normal 2 2 2 2 2 2 3" xfId="7261"/>
    <cellStyle name="Normal 2 2 2 2 2 2 3 2" xfId="7262"/>
    <cellStyle name="Normal 2 2 2 2 2 2 3 3" xfId="7263"/>
    <cellStyle name="Normal 2 2 2 2 2 2 3_ELEC SAP FCST UPLOAD" xfId="7264"/>
    <cellStyle name="Normal 2 2 2 2 2 2 4" xfId="7265"/>
    <cellStyle name="Normal 2 2 2 2 2 2 5" xfId="7266"/>
    <cellStyle name="Normal 2 2 2 2 2 2 6" xfId="7267"/>
    <cellStyle name="Normal 2 2 2 2 2 2 7" xfId="7268"/>
    <cellStyle name="Normal 2 2 2 2 2 2 8" xfId="7269"/>
    <cellStyle name="Normal 2 2 2 2 2 2 9" xfId="7270"/>
    <cellStyle name="Normal 2 2 2 2 2 2_ELEC SAP FCST UPLOAD" xfId="7271"/>
    <cellStyle name="Normal 2 2 2 2 2 20" xfId="7272"/>
    <cellStyle name="Normal 2 2 2 2 2 21" xfId="7273"/>
    <cellStyle name="Normal 2 2 2 2 2 22" xfId="7274"/>
    <cellStyle name="Normal 2 2 2 2 2 23" xfId="7275"/>
    <cellStyle name="Normal 2 2 2 2 2 3" xfId="7276"/>
    <cellStyle name="Normal 2 2 2 2 2 3 2" xfId="7277"/>
    <cellStyle name="Normal 2 2 2 2 2 3 3" xfId="7278"/>
    <cellStyle name="Normal 2 2 2 2 2 3_ELEC SAP FCST UPLOAD" xfId="7279"/>
    <cellStyle name="Normal 2 2 2 2 2 4" xfId="7280"/>
    <cellStyle name="Normal 2 2 2 2 2 5" xfId="7281"/>
    <cellStyle name="Normal 2 2 2 2 2 6" xfId="7282"/>
    <cellStyle name="Normal 2 2 2 2 2 7" xfId="7283"/>
    <cellStyle name="Normal 2 2 2 2 2 8" xfId="7284"/>
    <cellStyle name="Normal 2 2 2 2 2 9" xfId="7285"/>
    <cellStyle name="Normal 2 2 2 2 2_ELEC SAP FCST UPLOAD" xfId="7286"/>
    <cellStyle name="Normal 2 2 2 2 20" xfId="7287"/>
    <cellStyle name="Normal 2 2 2 2 21" xfId="7288"/>
    <cellStyle name="Normal 2 2 2 2 22" xfId="7289"/>
    <cellStyle name="Normal 2 2 2 2 23" xfId="7290"/>
    <cellStyle name="Normal 2 2 2 2 24" xfId="7291"/>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3" xfId="7300"/>
    <cellStyle name="Normal 2 2 2 2 3 2_ELEC SAP FCST UPLOAD" xfId="7301"/>
    <cellStyle name="Normal 2 2 2 2 3 3" xfId="7302"/>
    <cellStyle name="Normal 2 2 2 2 3 4" xfId="7303"/>
    <cellStyle name="Normal 2 2 2 2 3 5" xfId="7304"/>
    <cellStyle name="Normal 2 2 2 2 3 6" xfId="730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3" xfId="7319"/>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9" xfId="7386"/>
    <cellStyle name="Normal 2 2 2 2_ELEC SAP FCST UPLOAD" xfId="7387"/>
    <cellStyle name="Normal 2 2 2 20" xfId="7388"/>
    <cellStyle name="Normal 2 2 2 21" xfId="7389"/>
    <cellStyle name="Normal 2 2 2 22" xfId="7390"/>
    <cellStyle name="Normal 2 2 2 23" xfId="7391"/>
    <cellStyle name="Normal 2 2 2 24" xfId="7392"/>
    <cellStyle name="Normal 2 2 2 25" xfId="7393"/>
    <cellStyle name="Normal 2 2 2 26" xfId="7394"/>
    <cellStyle name="Normal 2 2 2 27" xfId="7395"/>
    <cellStyle name="Normal 2 2 2 28" xfId="7396"/>
    <cellStyle name="Normal 2 2 2 29" xfId="7397"/>
    <cellStyle name="Normal 2 2 2 3" xfId="7398"/>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3" xfId="7413"/>
    <cellStyle name="Normal 2 2 2 4 2 2_ELEC SAP FCST UPLOAD" xfId="7414"/>
    <cellStyle name="Normal 2 2 2 4 2 3" xfId="7415"/>
    <cellStyle name="Normal 2 2 2 4 2 4" xfId="7416"/>
    <cellStyle name="Normal 2 2 2 4 2 5" xfId="7417"/>
    <cellStyle name="Normal 2 2 2 4 2 6" xfId="7418"/>
    <cellStyle name="Normal 2 2 2 4 2_ELEC SAP FCST UPLOAD" xfId="7419"/>
    <cellStyle name="Normal 2 2 2 4 3" xfId="7420"/>
    <cellStyle name="Normal 2 2 2 4 3 2" xfId="7421"/>
    <cellStyle name="Normal 2 2 2 4 3 3" xfId="7422"/>
    <cellStyle name="Normal 2 2 2 4 3_ELEC SAP FCST UPLOAD" xfId="7423"/>
    <cellStyle name="Normal 2 2 2 4 4" xfId="7424"/>
    <cellStyle name="Normal 2 2 2 4 5" xfId="7425"/>
    <cellStyle name="Normal 2 2 2 4 6" xfId="7426"/>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3" xfId="7440"/>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9" xfId="7482"/>
    <cellStyle name="Normal 2 2 2_3.1.2 DB Pension Detail" xfId="7483"/>
    <cellStyle name="Normal 2 2 20" xfId="7484"/>
    <cellStyle name="Normal 2 2 21" xfId="7485"/>
    <cellStyle name="Normal 2 2 22" xfId="7486"/>
    <cellStyle name="Normal 2 2 23" xfId="7487"/>
    <cellStyle name="Normal 2 2 24" xfId="7488"/>
    <cellStyle name="Normal 2 2 25" xfId="7489"/>
    <cellStyle name="Normal 2 2 26" xfId="74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3" xfId="756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3" xfId="7578"/>
    <cellStyle name="Normal 2 2 3 2 2 2 4" xfId="7579"/>
    <cellStyle name="Normal 2 2 3 2 2 2 5" xfId="7580"/>
    <cellStyle name="Normal 2 2 3 2 2 2 6" xfId="758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3" xfId="7589"/>
    <cellStyle name="Normal 2 2 3 2 2 3 2" xfId="7590"/>
    <cellStyle name="Normal 2 2 3 2 2 3 3" xfId="7591"/>
    <cellStyle name="Normal 2 2 3 2 2 3_ELEC SAP FCST UPLOAD" xfId="7592"/>
    <cellStyle name="Normal 2 2 3 2 2 4" xfId="7593"/>
    <cellStyle name="Normal 2 2 3 2 2 5" xfId="7594"/>
    <cellStyle name="Normal 2 2 3 2 2 6" xfId="7595"/>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3" xfId="7604"/>
    <cellStyle name="Normal 2 2 3 2 3 2" xfId="7605"/>
    <cellStyle name="Normal 2 2 3 2 3 3" xfId="7606"/>
    <cellStyle name="Normal 2 2 3 2 3_ELEC SAP FCST UPLOAD" xfId="7607"/>
    <cellStyle name="Normal 2 2 3 2 4" xfId="7608"/>
    <cellStyle name="Normal 2 2 3 2 5" xfId="7609"/>
    <cellStyle name="Normal 2 2 3 2 6" xfId="7610"/>
    <cellStyle name="Normal 2 2 3 2 7" xfId="7611"/>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3" xfId="7628"/>
    <cellStyle name="Normal 2 2 3 3 2_ELEC SAP FCST UPLOAD" xfId="7629"/>
    <cellStyle name="Normal 2 2 3 3 3" xfId="7630"/>
    <cellStyle name="Normal 2 2 3 3 4" xfId="7631"/>
    <cellStyle name="Normal 2 2 3 3 5" xfId="7632"/>
    <cellStyle name="Normal 2 2 3 3 6" xfId="7633"/>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3" xfId="7647"/>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3" xfId="7777"/>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3" xfId="7788"/>
    <cellStyle name="Normal 2 2 4 2 4" xfId="7789"/>
    <cellStyle name="Normal 2 2 4 2 5" xfId="7790"/>
    <cellStyle name="Normal 2 2 4 2 6" xfId="7791"/>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3" xfId="780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1" xfId="8535"/>
    <cellStyle name="Normal 2 22" xfId="8536"/>
    <cellStyle name="Normal 2 23" xfId="8537"/>
    <cellStyle name="Normal 2 24" xfId="8538"/>
    <cellStyle name="Normal 2 25" xfId="8539"/>
    <cellStyle name="Normal 2 26" xfId="8540"/>
    <cellStyle name="Normal 2 27" xfId="8541"/>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3" xfId="8617"/>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3" xfId="8628"/>
    <cellStyle name="Normal 2 3 2 2 2 4" xfId="8629"/>
    <cellStyle name="Normal 2 3 2 2 2 5" xfId="8630"/>
    <cellStyle name="Normal 2 3 2 2 2 6" xfId="8631"/>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3" xfId="8648"/>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3" xfId="8766"/>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3" xfId="8902"/>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3" xfId="11447"/>
    <cellStyle name="Normal 23 3 4" xfId="11448"/>
    <cellStyle name="Normal 23 3 5" xfId="11449"/>
    <cellStyle name="Normal 23 3 6" xfId="11450"/>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3" xfId="12212"/>
    <cellStyle name="Normal 3 10 4" xfId="12213"/>
    <cellStyle name="Normal 3 10 5" xfId="12214"/>
    <cellStyle name="Normal 3 10 6" xfId="12215"/>
    <cellStyle name="Normal 3 10 7" xfId="12216"/>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4" xfId="12253"/>
    <cellStyle name="Normal 3 15" xfId="12254"/>
    <cellStyle name="Normal 3 16" xfId="12255"/>
    <cellStyle name="Normal 3 17" xfId="12256"/>
    <cellStyle name="Normal 3 18" xfId="12257"/>
    <cellStyle name="Normal 3 19" xfId="12258"/>
    <cellStyle name="Normal 3 2" xfId="89"/>
    <cellStyle name="Normal 3 2 10" xfId="12259"/>
    <cellStyle name="Normal 3 2 11" xfId="12260"/>
    <cellStyle name="Normal 3 2 12" xfId="12261"/>
    <cellStyle name="Normal 3 2 13" xfId="12262"/>
    <cellStyle name="Normal 3 2 14" xfId="12263"/>
    <cellStyle name="Normal 3 2 15" xfId="12264"/>
    <cellStyle name="Normal 3 2 16" xfId="1226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8" xfId="12377"/>
    <cellStyle name="Normal 3 2 9" xfId="12378"/>
    <cellStyle name="Normal 3 2_3.1.2 DB Pension Detail" xfId="12379"/>
    <cellStyle name="Normal 3 20" xfId="1238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3" xfId="14789"/>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3" xfId="14800"/>
    <cellStyle name="Normal 4 2 2 2 4" xfId="14801"/>
    <cellStyle name="Normal 4 2 2 2 5" xfId="14802"/>
    <cellStyle name="Normal 4 2 2 2 6" xfId="14803"/>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3" xfId="14811"/>
    <cellStyle name="Normal 4 2 2 3 2" xfId="14812"/>
    <cellStyle name="Normal 4 2 2 3 3" xfId="14813"/>
    <cellStyle name="Normal 4 2 2 3_ELEC SAP FCST UPLOAD" xfId="14814"/>
    <cellStyle name="Normal 4 2 2 4" xfId="14815"/>
    <cellStyle name="Normal 4 2 2 5" xfId="14816"/>
    <cellStyle name="Normal 4 2 2 6" xfId="14817"/>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3" xfId="99"/>
    <cellStyle name="Normal 4 2 3 2" xfId="14826"/>
    <cellStyle name="Normal 4 2 3 3" xfId="14827"/>
    <cellStyle name="Normal 4 2 3_ELEC SAP FCST UPLOAD" xfId="14828"/>
    <cellStyle name="Normal 4 2 4" xfId="14829"/>
    <cellStyle name="Normal 4 2 5" xfId="14830"/>
    <cellStyle name="Normal 4 2 6" xfId="14831"/>
    <cellStyle name="Normal 4 2 7" xfId="1483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3" xfId="14849"/>
    <cellStyle name="Normal 4 3 2_ELEC SAP FCST UPLOAD" xfId="14850"/>
    <cellStyle name="Normal 4 3 3" xfId="14851"/>
    <cellStyle name="Normal 4 3 4" xfId="14852"/>
    <cellStyle name="Normal 4 3 5" xfId="14853"/>
    <cellStyle name="Normal 4 3 6" xfId="14854"/>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3" xfId="16117"/>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3" xfId="16128"/>
    <cellStyle name="Normal 5 2 4" xfId="16129"/>
    <cellStyle name="Normal 5 2 5" xfId="16130"/>
    <cellStyle name="Normal 5 2 6" xfId="16131"/>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3" xfId="18147"/>
    <cellStyle name="Note 2 2 2 3 2" xfId="18148"/>
    <cellStyle name="Note 2 2 2 4" xfId="18149"/>
    <cellStyle name="Note 2 2 2 4 2" xfId="18150"/>
    <cellStyle name="Note 2 2 2 5" xfId="18151"/>
    <cellStyle name="Note 2 2 3" xfId="18152"/>
    <cellStyle name="Note 2 2 3 2" xfId="18153"/>
    <cellStyle name="Note 2 2 3 2 2" xfId="18154"/>
    <cellStyle name="Note 2 2 3 2 2 2" xfId="18155"/>
    <cellStyle name="Note 2 2 3 2 3" xfId="18156"/>
    <cellStyle name="Note 2 2 3 3" xfId="18157"/>
    <cellStyle name="Note 2 2 4" xfId="18158"/>
    <cellStyle name="Note 2 2 4 2" xfId="18159"/>
    <cellStyle name="Note 2 2 5" xfId="18160"/>
    <cellStyle name="Note 2 2 5 2" xfId="18161"/>
    <cellStyle name="Note 2 2 6" xfId="18162"/>
    <cellStyle name="Note 2 2 6 2" xfId="18163"/>
    <cellStyle name="Note 2 2 6 2 2" xfId="18164"/>
    <cellStyle name="Note 2 2 6 3" xfId="18165"/>
    <cellStyle name="Note 2 2 7" xfId="18166"/>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3" xfId="18179"/>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3" xfId="18193"/>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3" xfId="18207"/>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0" xfId="18256"/>
    <cellStyle name="Note 2 91" xfId="18257"/>
    <cellStyle name="Note 2 92" xfId="18258"/>
    <cellStyle name="Note 2 93" xfId="18259"/>
    <cellStyle name="Note 2 94" xfId="18260"/>
    <cellStyle name="Note 3" xfId="18261"/>
    <cellStyle name="Note 3 2" xfId="18262"/>
    <cellStyle name="Note 3 2 2" xfId="18263"/>
    <cellStyle name="Note 3 3" xfId="18264"/>
    <cellStyle name="Note 3 3 2" xfId="18265"/>
    <cellStyle name="Note 3 4" xfId="1826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3" xfId="18327"/>
    <cellStyle name="Output 2 2 2 3 2" xfId="18328"/>
    <cellStyle name="Output 2 2 2 4" xfId="18329"/>
    <cellStyle name="Output 2 2 2 4 2" xfId="18330"/>
    <cellStyle name="Output 2 2 2 5" xfId="18331"/>
    <cellStyle name="Output 2 2 3" xfId="18332"/>
    <cellStyle name="Output 2 2 3 2" xfId="18333"/>
    <cellStyle name="Output 2 2 3 2 2" xfId="18334"/>
    <cellStyle name="Output 2 2 3 2 2 2" xfId="18335"/>
    <cellStyle name="Output 2 2 3 2 3" xfId="18336"/>
    <cellStyle name="Output 2 2 3 3" xfId="18337"/>
    <cellStyle name="Output 2 2 4" xfId="18338"/>
    <cellStyle name="Output 2 2 4 2" xfId="18339"/>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3" xfId="18359"/>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3" xfId="18376"/>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5" xfId="18386"/>
    <cellStyle name="Output 2 5 2" xfId="18387"/>
    <cellStyle name="Output 2 5 2 2" xfId="18388"/>
    <cellStyle name="Output 2 5 2 2 2" xfId="18389"/>
    <cellStyle name="Output 2 5 2 3" xfId="18390"/>
    <cellStyle name="Output 2 5 3" xfId="18391"/>
    <cellStyle name="Output 2 6" xfId="18392"/>
    <cellStyle name="Output 2 6 2" xfId="18393"/>
    <cellStyle name="Output 2 7" xfId="18394"/>
    <cellStyle name="Output 2 7 2" xfId="18395"/>
    <cellStyle name="Output 2 8" xfId="18396"/>
    <cellStyle name="Output 2 9" xfId="18397"/>
    <cellStyle name="Output 3" xfId="18398"/>
    <cellStyle name="Output 3 2" xfId="18399"/>
    <cellStyle name="Output 3 2 2" xfId="18400"/>
    <cellStyle name="Output 3 3" xfId="18401"/>
    <cellStyle name="Output 3 3 2" xfId="18402"/>
    <cellStyle name="Output 3 4" xfId="18403"/>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3" xfId="18944"/>
    <cellStyle name="Percent 13 2" xfId="18945"/>
    <cellStyle name="Percent 13 3" xfId="18946"/>
    <cellStyle name="Percent 13 4" xfId="18947"/>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3" xfId="45513"/>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0" xfId="45525"/>
    <cellStyle name="SAPBEXaggData 31" xfId="45526"/>
    <cellStyle name="SAPBEXaggData 32" xfId="45527"/>
    <cellStyle name="SAPBEXaggData 4" xfId="45528"/>
    <cellStyle name="SAPBEXaggData 5" xfId="45529"/>
    <cellStyle name="SAPBEXaggData 6" xfId="45530"/>
    <cellStyle name="SAPBEXaggData 7" xfId="45531"/>
    <cellStyle name="SAPBEXaggData 8" xfId="45532"/>
    <cellStyle name="SAPBEXaggData 9" xfId="45533"/>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3" xfId="4554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0" xfId="45559"/>
    <cellStyle name="SAPBEXaggDataEmph 31" xfId="45560"/>
    <cellStyle name="SAPBEXaggDataEmph 32" xfId="45561"/>
    <cellStyle name="SAPBEXaggDataEmph 4" xfId="45562"/>
    <cellStyle name="SAPBEXaggDataEmph 5" xfId="45563"/>
    <cellStyle name="SAPBEXaggDataEmph 6" xfId="45564"/>
    <cellStyle name="SAPBEXaggDataEmph 7" xfId="45565"/>
    <cellStyle name="SAPBEXaggDataEmph 8" xfId="45566"/>
    <cellStyle name="SAPBEXaggDataEmph 9" xfId="45567"/>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3" xfId="45581"/>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0" xfId="45593"/>
    <cellStyle name="SAPBEXaggItem 31" xfId="45594"/>
    <cellStyle name="SAPBEXaggItem 32" xfId="45595"/>
    <cellStyle name="SAPBEXaggItem 4" xfId="45596"/>
    <cellStyle name="SAPBEXaggItem 5" xfId="45597"/>
    <cellStyle name="SAPBEXaggItem 6" xfId="45598"/>
    <cellStyle name="SAPBEXaggItem 7" xfId="45599"/>
    <cellStyle name="SAPBEXaggItem 8" xfId="45600"/>
    <cellStyle name="SAPBEXaggItem 9" xfId="45601"/>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3" xfId="45615"/>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0" xfId="45627"/>
    <cellStyle name="SAPBEXaggItemX 31" xfId="45628"/>
    <cellStyle name="SAPBEXaggItemX 32" xfId="45629"/>
    <cellStyle name="SAPBEXaggItemX 4" xfId="45630"/>
    <cellStyle name="SAPBEXaggItemX 5" xfId="45631"/>
    <cellStyle name="SAPBEXaggItemX 6" xfId="45632"/>
    <cellStyle name="SAPBEXaggItemX 7" xfId="45633"/>
    <cellStyle name="SAPBEXaggItemX 8" xfId="45634"/>
    <cellStyle name="SAPBEXaggItemX 9" xfId="45635"/>
    <cellStyle name="SAPBEXchaText" xfId="37"/>
    <cellStyle name="SAPBEXchaText 2" xfId="45636"/>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3" xfId="45650"/>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0" xfId="45662"/>
    <cellStyle name="SAPBEXexcBad7 31" xfId="45663"/>
    <cellStyle name="SAPBEXexcBad7 32" xfId="45664"/>
    <cellStyle name="SAPBEXexcBad7 4" xfId="45665"/>
    <cellStyle name="SAPBEXexcBad7 5" xfId="45666"/>
    <cellStyle name="SAPBEXexcBad7 6" xfId="45667"/>
    <cellStyle name="SAPBEXexcBad7 7" xfId="45668"/>
    <cellStyle name="SAPBEXexcBad7 8" xfId="45669"/>
    <cellStyle name="SAPBEXexcBad7 9" xfId="45670"/>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3" xfId="45684"/>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0" xfId="45696"/>
    <cellStyle name="SAPBEXexcBad8 31" xfId="45697"/>
    <cellStyle name="SAPBEXexcBad8 32" xfId="45698"/>
    <cellStyle name="SAPBEXexcBad8 4" xfId="45699"/>
    <cellStyle name="SAPBEXexcBad8 5" xfId="45700"/>
    <cellStyle name="SAPBEXexcBad8 6" xfId="45701"/>
    <cellStyle name="SAPBEXexcBad8 7" xfId="45702"/>
    <cellStyle name="SAPBEXexcBad8 8" xfId="45703"/>
    <cellStyle name="SAPBEXexcBad8 9" xfId="45704"/>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3" xfId="45718"/>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0" xfId="45730"/>
    <cellStyle name="SAPBEXexcBad9 31" xfId="45731"/>
    <cellStyle name="SAPBEXexcBad9 32" xfId="45732"/>
    <cellStyle name="SAPBEXexcBad9 4" xfId="45733"/>
    <cellStyle name="SAPBEXexcBad9 5" xfId="45734"/>
    <cellStyle name="SAPBEXexcBad9 6" xfId="45735"/>
    <cellStyle name="SAPBEXexcBad9 7" xfId="45736"/>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3" xfId="45752"/>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0" xfId="45764"/>
    <cellStyle name="SAPBEXexcCritical4 31" xfId="45765"/>
    <cellStyle name="SAPBEXexcCritical4 32" xfId="45766"/>
    <cellStyle name="SAPBEXexcCritical4 4" xfId="45767"/>
    <cellStyle name="SAPBEXexcCritical4 5" xfId="45768"/>
    <cellStyle name="SAPBEXexcCritical4 6" xfId="45769"/>
    <cellStyle name="SAPBEXexcCritical4 7" xfId="45770"/>
    <cellStyle name="SAPBEXexcCritical4 8" xfId="45771"/>
    <cellStyle name="SAPBEXexcCritical4 9" xfId="45772"/>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3" xfId="45786"/>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0" xfId="45798"/>
    <cellStyle name="SAPBEXexcCritical5 31" xfId="45799"/>
    <cellStyle name="SAPBEXexcCritical5 32" xfId="45800"/>
    <cellStyle name="SAPBEXexcCritical5 4" xfId="45801"/>
    <cellStyle name="SAPBEXexcCritical5 5" xfId="45802"/>
    <cellStyle name="SAPBEXexcCritical5 6" xfId="45803"/>
    <cellStyle name="SAPBEXexcCritical5 7" xfId="45804"/>
    <cellStyle name="SAPBEXexcCritical5 8" xfId="45805"/>
    <cellStyle name="SAPBEXexcCritical5 9" xfId="45806"/>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3" xfId="45820"/>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0" xfId="45832"/>
    <cellStyle name="SAPBEXexcCritical6 31" xfId="45833"/>
    <cellStyle name="SAPBEXexcCritical6 32" xfId="45834"/>
    <cellStyle name="SAPBEXexcCritical6 4" xfId="45835"/>
    <cellStyle name="SAPBEXexcCritical6 5" xfId="45836"/>
    <cellStyle name="SAPBEXexcCritical6 6" xfId="45837"/>
    <cellStyle name="SAPBEXexcCritical6 7" xfId="45838"/>
    <cellStyle name="SAPBEXexcCritical6 8" xfId="45839"/>
    <cellStyle name="SAPBEXexcCritical6 9" xfId="45840"/>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3" xfId="45854"/>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0" xfId="45866"/>
    <cellStyle name="SAPBEXexcGood1 31" xfId="45867"/>
    <cellStyle name="SAPBEXexcGood1 32" xfId="45868"/>
    <cellStyle name="SAPBEXexcGood1 4" xfId="45869"/>
    <cellStyle name="SAPBEXexcGood1 5" xfId="45870"/>
    <cellStyle name="SAPBEXexcGood1 6" xfId="45871"/>
    <cellStyle name="SAPBEXexcGood1 7" xfId="45872"/>
    <cellStyle name="SAPBEXexcGood1 8" xfId="45873"/>
    <cellStyle name="SAPBEXexcGood1 9" xfId="45874"/>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3" xfId="4588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0" xfId="45900"/>
    <cellStyle name="SAPBEXexcGood2 31" xfId="45901"/>
    <cellStyle name="SAPBEXexcGood2 32" xfId="45902"/>
    <cellStyle name="SAPBEXexcGood2 4" xfId="45903"/>
    <cellStyle name="SAPBEXexcGood2 5" xfId="45904"/>
    <cellStyle name="SAPBEXexcGood2 6" xfId="45905"/>
    <cellStyle name="SAPBEXexcGood2 7" xfId="45906"/>
    <cellStyle name="SAPBEXexcGood2 8" xfId="45907"/>
    <cellStyle name="SAPBEXexcGood2 9" xfId="45908"/>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3" xfId="45922"/>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0" xfId="45934"/>
    <cellStyle name="SAPBEXexcGood3 31" xfId="45935"/>
    <cellStyle name="SAPBEXexcGood3 32" xfId="45936"/>
    <cellStyle name="SAPBEXexcGood3 4" xfId="45937"/>
    <cellStyle name="SAPBEXexcGood3 5" xfId="45938"/>
    <cellStyle name="SAPBEXexcGood3 6" xfId="45939"/>
    <cellStyle name="SAPBEXexcGood3 7" xfId="45940"/>
    <cellStyle name="SAPBEXexcGood3 8" xfId="45941"/>
    <cellStyle name="SAPBEXexcGood3 9" xfId="45942"/>
    <cellStyle name="SAPBEXexcGood3_SGN 10a Business Plan 2010v14 used for CF model v2" xfId="45943"/>
    <cellStyle name="SAPBEXfilterDrill" xfId="47"/>
    <cellStyle name="SAPBEXfilterDrill 2" xfId="45944"/>
    <cellStyle name="SAPBEXfilterDrill_SGN 10a Business Plan 2010v14 used for CF model v2" xfId="45945"/>
    <cellStyle name="SAPBEXfilterItem" xfId="48"/>
    <cellStyle name="SAPBEXfilterItem 2" xfId="45946"/>
    <cellStyle name="SAPBEXfilterItem_SGN 10a Business Plan 2010v14 used for CF model v2" xfId="45947"/>
    <cellStyle name="SAPBEXfilterText" xfId="49"/>
    <cellStyle name="SAPBEXfilterText 2" xfId="4594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3" xfId="45962"/>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0" xfId="45974"/>
    <cellStyle name="SAPBEXformats 31" xfId="45975"/>
    <cellStyle name="SAPBEXformats 32" xfId="45976"/>
    <cellStyle name="SAPBEXformats 4" xfId="45977"/>
    <cellStyle name="SAPBEXformats 5" xfId="45978"/>
    <cellStyle name="SAPBEXformats 6" xfId="45979"/>
    <cellStyle name="SAPBEXformats 7" xfId="45980"/>
    <cellStyle name="SAPBEXformats 8" xfId="45981"/>
    <cellStyle name="SAPBEXformats 9" xfId="45982"/>
    <cellStyle name="SAPBEXformats_SGN 10a Business Plan 2010v14 used for CF model v2" xfId="45983"/>
    <cellStyle name="SAPBEXheaderItem" xfId="51"/>
    <cellStyle name="SAPBEXheaderItem 2" xfId="45984"/>
    <cellStyle name="SAPBEXheaderItem_0910 GSO Capex RRP - Final (Detail) v2 220710" xfId="45985"/>
    <cellStyle name="SAPBEXheaderText" xfId="52"/>
    <cellStyle name="SAPBEXheaderText 2" xfId="45986"/>
    <cellStyle name="SAPBEXheaderText_0910 GSO Capex RRP - Final (Detail) v2 220710" xfId="45987"/>
    <cellStyle name="SAPBEXHLevel0" xfId="53"/>
    <cellStyle name="SAPBEXHLevel0 10" xfId="45988"/>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3" xfId="46011"/>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0" xfId="46024"/>
    <cellStyle name="SAPBEXHLevel0 2 31" xfId="46025"/>
    <cellStyle name="SAPBEXHLevel0 2 32" xfId="46026"/>
    <cellStyle name="SAPBEXHLevel0 2 4" xfId="46027"/>
    <cellStyle name="SAPBEXHLevel0 2 4 2" xfId="46028"/>
    <cellStyle name="SAPBEXHLevel0 2 5" xfId="46029"/>
    <cellStyle name="SAPBEXHLevel0 2 5 2" xfId="46030"/>
    <cellStyle name="SAPBEXHLevel0 2 6" xfId="46031"/>
    <cellStyle name="SAPBEXHLevel0 2 6 2" xfId="46032"/>
    <cellStyle name="SAPBEXHLevel0 2 7" xfId="46033"/>
    <cellStyle name="SAPBEXHLevel0 2 7 2" xfId="4603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3" xfId="46050"/>
    <cellStyle name="SAPBEXHLevel0 30" xfId="46051"/>
    <cellStyle name="SAPBEXHLevel0 31" xfId="46052"/>
    <cellStyle name="SAPBEXHLevel0 32" xfId="46053"/>
    <cellStyle name="SAPBEXHLevel0 33" xfId="46054"/>
    <cellStyle name="SAPBEXHLevel0 4" xfId="46055"/>
    <cellStyle name="SAPBEXHLevel0 4 2" xfId="46056"/>
    <cellStyle name="SAPBEXHLevel0 5" xfId="46057"/>
    <cellStyle name="SAPBEXHLevel0 5 2" xfId="46058"/>
    <cellStyle name="SAPBEXHLevel0 6" xfId="46059"/>
    <cellStyle name="SAPBEXHLevel0 6 2" xfId="46060"/>
    <cellStyle name="SAPBEXHLevel0 7" xfId="46061"/>
    <cellStyle name="SAPBEXHLevel0 7 2" xfId="46062"/>
    <cellStyle name="SAPBEXHLevel0 8" xfId="46063"/>
    <cellStyle name="SAPBEXHLevel0 8 2" xfId="46064"/>
    <cellStyle name="SAPBEXHLevel0 9" xfId="46065"/>
    <cellStyle name="SAPBEXHLevel0 9 2" xfId="46066"/>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3" xfId="46091"/>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0" xfId="46104"/>
    <cellStyle name="SAPBEXHLevel0X 2 31" xfId="46105"/>
    <cellStyle name="SAPBEXHLevel0X 2 32" xfId="46106"/>
    <cellStyle name="SAPBEXHLevel0X 2 4" xfId="46107"/>
    <cellStyle name="SAPBEXHLevel0X 2 4 2" xfId="46108"/>
    <cellStyle name="SAPBEXHLevel0X 2 5" xfId="46109"/>
    <cellStyle name="SAPBEXHLevel0X 2 5 2" xfId="46110"/>
    <cellStyle name="SAPBEXHLevel0X 2 6" xfId="46111"/>
    <cellStyle name="SAPBEXHLevel0X 2 6 2" xfId="46112"/>
    <cellStyle name="SAPBEXHLevel0X 2 7" xfId="46113"/>
    <cellStyle name="SAPBEXHLevel0X 2 7 2" xfId="46114"/>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2" xfId="46129"/>
    <cellStyle name="SAPBEXHLevel0X 3 3" xfId="46130"/>
    <cellStyle name="SAPBEXHLevel0X 30" xfId="46131"/>
    <cellStyle name="SAPBEXHLevel0X 31" xfId="46132"/>
    <cellStyle name="SAPBEXHLevel0X 32" xfId="46133"/>
    <cellStyle name="SAPBEXHLevel0X 33" xfId="46134"/>
    <cellStyle name="SAPBEXHLevel0X 4" xfId="46135"/>
    <cellStyle name="SAPBEXHLevel0X 4 2" xfId="46136"/>
    <cellStyle name="SAPBEXHLevel0X 5" xfId="46137"/>
    <cellStyle name="SAPBEXHLevel0X 5 2" xfId="46138"/>
    <cellStyle name="SAPBEXHLevel0X 6" xfId="46139"/>
    <cellStyle name="SAPBEXHLevel0X 6 2" xfId="46140"/>
    <cellStyle name="SAPBEXHLevel0X 7" xfId="46141"/>
    <cellStyle name="SAPBEXHLevel0X 7 2" xfId="46142"/>
    <cellStyle name="SAPBEXHLevel0X 8" xfId="46143"/>
    <cellStyle name="SAPBEXHLevel0X 8 2" xfId="46144"/>
    <cellStyle name="SAPBEXHLevel0X 9" xfId="46145"/>
    <cellStyle name="SAPBEXHLevel0X 9 2" xfId="46146"/>
    <cellStyle name="SAPBEXHLevel0X_0910 GSO Capex RRP - Final (Detail) v2 220710" xfId="46147"/>
    <cellStyle name="SAPBEXHLevel1" xfId="55"/>
    <cellStyle name="SAPBEXHLevel1 10" xfId="4614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3" xfId="46171"/>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0" xfId="46184"/>
    <cellStyle name="SAPBEXHLevel1 2 31" xfId="46185"/>
    <cellStyle name="SAPBEXHLevel1 2 32" xfId="46186"/>
    <cellStyle name="SAPBEXHLevel1 2 4" xfId="46187"/>
    <cellStyle name="SAPBEXHLevel1 2 4 2" xfId="46188"/>
    <cellStyle name="SAPBEXHLevel1 2 5" xfId="46189"/>
    <cellStyle name="SAPBEXHLevel1 2 5 2" xfId="46190"/>
    <cellStyle name="SAPBEXHLevel1 2 6" xfId="46191"/>
    <cellStyle name="SAPBEXHLevel1 2 6 2" xfId="46192"/>
    <cellStyle name="SAPBEXHLevel1 2 7" xfId="46193"/>
    <cellStyle name="SAPBEXHLevel1 2 7 2" xfId="46194"/>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3" xfId="46210"/>
    <cellStyle name="SAPBEXHLevel1 30" xfId="46211"/>
    <cellStyle name="SAPBEXHLevel1 31" xfId="46212"/>
    <cellStyle name="SAPBEXHLevel1 32" xfId="46213"/>
    <cellStyle name="SAPBEXHLevel1 33" xfId="46214"/>
    <cellStyle name="SAPBEXHLevel1 4" xfId="46215"/>
    <cellStyle name="SAPBEXHLevel1 4 2" xfId="46216"/>
    <cellStyle name="SAPBEXHLevel1 5" xfId="46217"/>
    <cellStyle name="SAPBEXHLevel1 5 2" xfId="46218"/>
    <cellStyle name="SAPBEXHLevel1 6" xfId="46219"/>
    <cellStyle name="SAPBEXHLevel1 6 2" xfId="46220"/>
    <cellStyle name="SAPBEXHLevel1 7" xfId="46221"/>
    <cellStyle name="SAPBEXHLevel1 7 2" xfId="46222"/>
    <cellStyle name="SAPBEXHLevel1 8" xfId="46223"/>
    <cellStyle name="SAPBEXHLevel1 8 2" xfId="46224"/>
    <cellStyle name="SAPBEXHLevel1 9" xfId="46225"/>
    <cellStyle name="SAPBEXHLevel1 9 2" xfId="46226"/>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3" xfId="4625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0" xfId="46264"/>
    <cellStyle name="SAPBEXHLevel1X 2 31" xfId="46265"/>
    <cellStyle name="SAPBEXHLevel1X 2 32" xfId="46266"/>
    <cellStyle name="SAPBEXHLevel1X 2 4" xfId="46267"/>
    <cellStyle name="SAPBEXHLevel1X 2 4 2" xfId="46268"/>
    <cellStyle name="SAPBEXHLevel1X 2 5" xfId="46269"/>
    <cellStyle name="SAPBEXHLevel1X 2 5 2" xfId="46270"/>
    <cellStyle name="SAPBEXHLevel1X 2 6" xfId="46271"/>
    <cellStyle name="SAPBEXHLevel1X 2 6 2" xfId="46272"/>
    <cellStyle name="SAPBEXHLevel1X 2 7" xfId="46273"/>
    <cellStyle name="SAPBEXHLevel1X 2 7 2" xfId="46274"/>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2" xfId="46289"/>
    <cellStyle name="SAPBEXHLevel1X 3 3" xfId="46290"/>
    <cellStyle name="SAPBEXHLevel1X 30" xfId="46291"/>
    <cellStyle name="SAPBEXHLevel1X 31" xfId="46292"/>
    <cellStyle name="SAPBEXHLevel1X 32" xfId="46293"/>
    <cellStyle name="SAPBEXHLevel1X 33" xfId="46294"/>
    <cellStyle name="SAPBEXHLevel1X 4" xfId="46295"/>
    <cellStyle name="SAPBEXHLevel1X 4 2" xfId="46296"/>
    <cellStyle name="SAPBEXHLevel1X 5" xfId="46297"/>
    <cellStyle name="SAPBEXHLevel1X 5 2" xfId="46298"/>
    <cellStyle name="SAPBEXHLevel1X 6" xfId="46299"/>
    <cellStyle name="SAPBEXHLevel1X 6 2" xfId="46300"/>
    <cellStyle name="SAPBEXHLevel1X 7" xfId="46301"/>
    <cellStyle name="SAPBEXHLevel1X 7 2" xfId="46302"/>
    <cellStyle name="SAPBEXHLevel1X 8" xfId="46303"/>
    <cellStyle name="SAPBEXHLevel1X 8 2" xfId="46304"/>
    <cellStyle name="SAPBEXHLevel1X 9" xfId="46305"/>
    <cellStyle name="SAPBEXHLevel1X 9 2" xfId="46306"/>
    <cellStyle name="SAPBEXHLevel1X_0910 GSO Capex RRP - Final (Detail) v2 220710" xfId="46307"/>
    <cellStyle name="SAPBEXHLevel2" xfId="57"/>
    <cellStyle name="SAPBEXHLevel2 10" xfId="46308"/>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3" xfId="4633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0" xfId="46344"/>
    <cellStyle name="SAPBEXHLevel2 2 31" xfId="46345"/>
    <cellStyle name="SAPBEXHLevel2 2 32" xfId="46346"/>
    <cellStyle name="SAPBEXHLevel2 2 4" xfId="46347"/>
    <cellStyle name="SAPBEXHLevel2 2 4 2" xfId="46348"/>
    <cellStyle name="SAPBEXHLevel2 2 5" xfId="46349"/>
    <cellStyle name="SAPBEXHLevel2 2 5 2" xfId="46350"/>
    <cellStyle name="SAPBEXHLevel2 2 6" xfId="46351"/>
    <cellStyle name="SAPBEXHLevel2 2 6 2" xfId="46352"/>
    <cellStyle name="SAPBEXHLevel2 2 7" xfId="46353"/>
    <cellStyle name="SAPBEXHLevel2 2 7 2" xfId="46354"/>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3" xfId="46370"/>
    <cellStyle name="SAPBEXHLevel2 30" xfId="46371"/>
    <cellStyle name="SAPBEXHLevel2 31" xfId="46372"/>
    <cellStyle name="SAPBEXHLevel2 32" xfId="46373"/>
    <cellStyle name="SAPBEXHLevel2 33" xfId="46374"/>
    <cellStyle name="SAPBEXHLevel2 4" xfId="46375"/>
    <cellStyle name="SAPBEXHLevel2 4 2" xfId="46376"/>
    <cellStyle name="SAPBEXHLevel2 5" xfId="46377"/>
    <cellStyle name="SAPBEXHLevel2 5 2" xfId="46378"/>
    <cellStyle name="SAPBEXHLevel2 6" xfId="46379"/>
    <cellStyle name="SAPBEXHLevel2 6 2" xfId="46380"/>
    <cellStyle name="SAPBEXHLevel2 7" xfId="46381"/>
    <cellStyle name="SAPBEXHLevel2 7 2" xfId="46382"/>
    <cellStyle name="SAPBEXHLevel2 8" xfId="46383"/>
    <cellStyle name="SAPBEXHLevel2 8 2" xfId="46384"/>
    <cellStyle name="SAPBEXHLevel2 9" xfId="46385"/>
    <cellStyle name="SAPBEXHLevel2 9 2" xfId="46386"/>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3" xfId="46411"/>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0" xfId="46424"/>
    <cellStyle name="SAPBEXHLevel2X 2 31" xfId="46425"/>
    <cellStyle name="SAPBEXHLevel2X 2 32" xfId="46426"/>
    <cellStyle name="SAPBEXHLevel2X 2 4" xfId="46427"/>
    <cellStyle name="SAPBEXHLevel2X 2 4 2" xfId="46428"/>
    <cellStyle name="SAPBEXHLevel2X 2 5" xfId="46429"/>
    <cellStyle name="SAPBEXHLevel2X 2 5 2" xfId="46430"/>
    <cellStyle name="SAPBEXHLevel2X 2 6" xfId="46431"/>
    <cellStyle name="SAPBEXHLevel2X 2 6 2" xfId="46432"/>
    <cellStyle name="SAPBEXHLevel2X 2 7" xfId="46433"/>
    <cellStyle name="SAPBEXHLevel2X 2 7 2" xfId="46434"/>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2" xfId="46449"/>
    <cellStyle name="SAPBEXHLevel2X 3 3" xfId="46450"/>
    <cellStyle name="SAPBEXHLevel2X 30" xfId="46451"/>
    <cellStyle name="SAPBEXHLevel2X 31" xfId="46452"/>
    <cellStyle name="SAPBEXHLevel2X 32" xfId="46453"/>
    <cellStyle name="SAPBEXHLevel2X 33" xfId="46454"/>
    <cellStyle name="SAPBEXHLevel2X 4" xfId="46455"/>
    <cellStyle name="SAPBEXHLevel2X 4 2" xfId="46456"/>
    <cellStyle name="SAPBEXHLevel2X 5" xfId="46457"/>
    <cellStyle name="SAPBEXHLevel2X 5 2" xfId="46458"/>
    <cellStyle name="SAPBEXHLevel2X 6" xfId="46459"/>
    <cellStyle name="SAPBEXHLevel2X 6 2" xfId="46460"/>
    <cellStyle name="SAPBEXHLevel2X 7" xfId="46461"/>
    <cellStyle name="SAPBEXHLevel2X 7 2" xfId="46462"/>
    <cellStyle name="SAPBEXHLevel2X 8" xfId="46463"/>
    <cellStyle name="SAPBEXHLevel2X 8 2" xfId="46464"/>
    <cellStyle name="SAPBEXHLevel2X 9" xfId="46465"/>
    <cellStyle name="SAPBEXHLevel2X 9 2" xfId="46466"/>
    <cellStyle name="SAPBEXHLevel2X_0910 GSO Capex RRP - Final (Detail) v2 220710" xfId="46467"/>
    <cellStyle name="SAPBEXHLevel3" xfId="59"/>
    <cellStyle name="SAPBEXHLevel3 10" xfId="46468"/>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3" xfId="46491"/>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0" xfId="46504"/>
    <cellStyle name="SAPBEXHLevel3 2 31" xfId="46505"/>
    <cellStyle name="SAPBEXHLevel3 2 32" xfId="46506"/>
    <cellStyle name="SAPBEXHLevel3 2 4" xfId="46507"/>
    <cellStyle name="SAPBEXHLevel3 2 4 2" xfId="46508"/>
    <cellStyle name="SAPBEXHLevel3 2 5" xfId="46509"/>
    <cellStyle name="SAPBEXHLevel3 2 5 2" xfId="46510"/>
    <cellStyle name="SAPBEXHLevel3 2 6" xfId="46511"/>
    <cellStyle name="SAPBEXHLevel3 2 6 2" xfId="46512"/>
    <cellStyle name="SAPBEXHLevel3 2 7" xfId="46513"/>
    <cellStyle name="SAPBEXHLevel3 2 7 2" xfId="46514"/>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3" xfId="46530"/>
    <cellStyle name="SAPBEXHLevel3 30" xfId="46531"/>
    <cellStyle name="SAPBEXHLevel3 31" xfId="46532"/>
    <cellStyle name="SAPBEXHLevel3 32" xfId="46533"/>
    <cellStyle name="SAPBEXHLevel3 33" xfId="46534"/>
    <cellStyle name="SAPBEXHLevel3 4" xfId="46535"/>
    <cellStyle name="SAPBEXHLevel3 4 2" xfId="46536"/>
    <cellStyle name="SAPBEXHLevel3 5" xfId="46537"/>
    <cellStyle name="SAPBEXHLevel3 5 2" xfId="46538"/>
    <cellStyle name="SAPBEXHLevel3 6" xfId="46539"/>
    <cellStyle name="SAPBEXHLevel3 6 2" xfId="46540"/>
    <cellStyle name="SAPBEXHLevel3 7" xfId="46541"/>
    <cellStyle name="SAPBEXHLevel3 7 2" xfId="46542"/>
    <cellStyle name="SAPBEXHLevel3 8" xfId="46543"/>
    <cellStyle name="SAPBEXHLevel3 8 2" xfId="46544"/>
    <cellStyle name="SAPBEXHLevel3 9" xfId="46545"/>
    <cellStyle name="SAPBEXHLevel3 9 2" xfId="46546"/>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3" xfId="46571"/>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0" xfId="46584"/>
    <cellStyle name="SAPBEXHLevel3X 2 31" xfId="46585"/>
    <cellStyle name="SAPBEXHLevel3X 2 32" xfId="46586"/>
    <cellStyle name="SAPBEXHLevel3X 2 4" xfId="46587"/>
    <cellStyle name="SAPBEXHLevel3X 2 4 2" xfId="46588"/>
    <cellStyle name="SAPBEXHLevel3X 2 5" xfId="46589"/>
    <cellStyle name="SAPBEXHLevel3X 2 5 2" xfId="46590"/>
    <cellStyle name="SAPBEXHLevel3X 2 6" xfId="46591"/>
    <cellStyle name="SAPBEXHLevel3X 2 6 2" xfId="46592"/>
    <cellStyle name="SAPBEXHLevel3X 2 7" xfId="46593"/>
    <cellStyle name="SAPBEXHLevel3X 2 7 2" xfId="46594"/>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2" xfId="46609"/>
    <cellStyle name="SAPBEXHLevel3X 3 3" xfId="46610"/>
    <cellStyle name="SAPBEXHLevel3X 30" xfId="46611"/>
    <cellStyle name="SAPBEXHLevel3X 31" xfId="46612"/>
    <cellStyle name="SAPBEXHLevel3X 32" xfId="46613"/>
    <cellStyle name="SAPBEXHLevel3X 33" xfId="46614"/>
    <cellStyle name="SAPBEXHLevel3X 4" xfId="46615"/>
    <cellStyle name="SAPBEXHLevel3X 4 2" xfId="46616"/>
    <cellStyle name="SAPBEXHLevel3X 5" xfId="46617"/>
    <cellStyle name="SAPBEXHLevel3X 5 2" xfId="46618"/>
    <cellStyle name="SAPBEXHLevel3X 6" xfId="46619"/>
    <cellStyle name="SAPBEXHLevel3X 6 2" xfId="46620"/>
    <cellStyle name="SAPBEXHLevel3X 7" xfId="46621"/>
    <cellStyle name="SAPBEXHLevel3X 7 2" xfId="46622"/>
    <cellStyle name="SAPBEXHLevel3X 8" xfId="46623"/>
    <cellStyle name="SAPBEXHLevel3X 8 2" xfId="46624"/>
    <cellStyle name="SAPBEXHLevel3X 9" xfId="46625"/>
    <cellStyle name="SAPBEXHLevel3X 9 2" xfId="46626"/>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2" xfId="46872"/>
    <cellStyle name="SAPBEXinputData 3 2 2 2" xfId="46873"/>
    <cellStyle name="SAPBEXinputData 3 2 2 3" xfId="46874"/>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3" xfId="46900"/>
    <cellStyle name="SAPBEXinputData 3 30" xfId="46901"/>
    <cellStyle name="SAPBEXinputData 3 4" xfId="46902"/>
    <cellStyle name="SAPBEXinputData 3 4 2" xfId="46903"/>
    <cellStyle name="SAPBEXinputData 3 5" xfId="46904"/>
    <cellStyle name="SAPBEXinputData 3 5 2" xfId="46905"/>
    <cellStyle name="SAPBEXinputData 3 6" xfId="46906"/>
    <cellStyle name="SAPBEXinputData 3 6 2" xfId="46907"/>
    <cellStyle name="SAPBEXinputData 3 7" xfId="46908"/>
    <cellStyle name="SAPBEXinputData 3 7 2" xfId="46909"/>
    <cellStyle name="SAPBEXinputData 3 8" xfId="46910"/>
    <cellStyle name="SAPBEXinputData 3 8 2" xfId="46911"/>
    <cellStyle name="SAPBEXinputData 3 9" xfId="46912"/>
    <cellStyle name="SAPBEXinputData 3 9 2" xfId="46913"/>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3" xfId="47072"/>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0" xfId="47084"/>
    <cellStyle name="SAPBEXItemHeader 31" xfId="47085"/>
    <cellStyle name="SAPBEXItemHeader 32" xfId="47086"/>
    <cellStyle name="SAPBEXItemHeader 4" xfId="47087"/>
    <cellStyle name="SAPBEXItemHeader 5" xfId="47088"/>
    <cellStyle name="SAPBEXItemHeader 6" xfId="47089"/>
    <cellStyle name="SAPBEXItemHeader 7" xfId="47090"/>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3" xfId="47105"/>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0" xfId="47117"/>
    <cellStyle name="SAPBEXresData 31" xfId="47118"/>
    <cellStyle name="SAPBEXresData 32" xfId="47119"/>
    <cellStyle name="SAPBEXresData 4" xfId="47120"/>
    <cellStyle name="SAPBEXresData 5" xfId="47121"/>
    <cellStyle name="SAPBEXresData 6" xfId="47122"/>
    <cellStyle name="SAPBEXresData 7" xfId="47123"/>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3" xfId="47173"/>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0" xfId="47185"/>
    <cellStyle name="SAPBEXresItem 31" xfId="47186"/>
    <cellStyle name="SAPBEXresItem 32" xfId="47187"/>
    <cellStyle name="SAPBEXresItem 4" xfId="47188"/>
    <cellStyle name="SAPBEXresItem 5" xfId="47189"/>
    <cellStyle name="SAPBEXresItem 6" xfId="47190"/>
    <cellStyle name="SAPBEXresItem 7" xfId="47191"/>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3" xfId="47207"/>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0" xfId="47219"/>
    <cellStyle name="SAPBEXresItemX 31" xfId="47220"/>
    <cellStyle name="SAPBEXresItemX 32" xfId="47221"/>
    <cellStyle name="SAPBEXresItemX 4" xfId="47222"/>
    <cellStyle name="SAPBEXresItemX 5" xfId="47223"/>
    <cellStyle name="SAPBEXresItemX 6" xfId="47224"/>
    <cellStyle name="SAPBEXresItemX 7" xfId="47225"/>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3" xfId="47240"/>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0" xfId="47252"/>
    <cellStyle name="SAPBEXstdData 31" xfId="47253"/>
    <cellStyle name="SAPBEXstdData 32" xfId="47254"/>
    <cellStyle name="SAPBEXstdData 4" xfId="47255"/>
    <cellStyle name="SAPBEXstdData 5" xfId="47256"/>
    <cellStyle name="SAPBEXstdData 6" xfId="47257"/>
    <cellStyle name="SAPBEXstdData 7" xfId="47258"/>
    <cellStyle name="SAPBEXstdData 8" xfId="47259"/>
    <cellStyle name="SAPBEXstdData 9" xfId="47260"/>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3" xfId="47274"/>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0" xfId="47286"/>
    <cellStyle name="SAPBEXstdDataEmph 31" xfId="47287"/>
    <cellStyle name="SAPBEXstdDataEmph 32" xfId="47288"/>
    <cellStyle name="SAPBEXstdDataEmph 4" xfId="47289"/>
    <cellStyle name="SAPBEXstdDataEmph 5" xfId="47290"/>
    <cellStyle name="SAPBEXstdDataEmph 6" xfId="47291"/>
    <cellStyle name="SAPBEXstdDataEmph 7" xfId="47292"/>
    <cellStyle name="SAPBEXstdDataEmph 8" xfId="47293"/>
    <cellStyle name="SAPBEXstdDataEmph 9" xfId="4729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3" xfId="47308"/>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0" xfId="47320"/>
    <cellStyle name="SAPBEXstdItem 31" xfId="47321"/>
    <cellStyle name="SAPBEXstdItem 32" xfId="47322"/>
    <cellStyle name="SAPBEXstdItem 4" xfId="47323"/>
    <cellStyle name="SAPBEXstdItem 5" xfId="47324"/>
    <cellStyle name="SAPBEXstdItem 6" xfId="47325"/>
    <cellStyle name="SAPBEXstdItem 7" xfId="47326"/>
    <cellStyle name="SAPBEXstdItem 8" xfId="47327"/>
    <cellStyle name="SAPBEXstdItem 9" xfId="47328"/>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3" xfId="4734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0" xfId="47354"/>
    <cellStyle name="SAPBEXstdItemX 31" xfId="47355"/>
    <cellStyle name="SAPBEXstdItemX 32" xfId="47356"/>
    <cellStyle name="SAPBEXstdItemX 4" xfId="47357"/>
    <cellStyle name="SAPBEXstdItemX 5" xfId="47358"/>
    <cellStyle name="SAPBEXstdItemX 6" xfId="47359"/>
    <cellStyle name="SAPBEXstdItemX 7" xfId="47360"/>
    <cellStyle name="SAPBEXstdItemX 8" xfId="47361"/>
    <cellStyle name="SAPBEXstdItemX 9" xfId="47362"/>
    <cellStyle name="SAPBEXtitle" xfId="70"/>
    <cellStyle name="SAPBEXtitle 2" xfId="47363"/>
    <cellStyle name="SAPBEXtitle 2 2" xfId="47364"/>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3" xfId="47596"/>
    <cellStyle name="SAPBEXundefined 2 3" xfId="47597"/>
    <cellStyle name="SAPBEXundefined 2 3 2" xfId="47598"/>
    <cellStyle name="SAPBEXundefined 2 4" xfId="47599"/>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3" xfId="47612"/>
    <cellStyle name="SAPBEXundefined 30" xfId="47613"/>
    <cellStyle name="SAPBEXundefined 31" xfId="47614"/>
    <cellStyle name="SAPBEXundefined 32" xfId="47615"/>
    <cellStyle name="SAPBEXundefined 4" xfId="47616"/>
    <cellStyle name="SAPBEXundefined 4 2" xfId="47617"/>
    <cellStyle name="SAPBEXundefined 5" xfId="47618"/>
    <cellStyle name="SAPBEXundefined 6" xfId="47619"/>
    <cellStyle name="SAPBEXundefined 7" xfId="47620"/>
    <cellStyle name="SAPBEXundefined 8" xfId="47621"/>
    <cellStyle name="SAPBEXundefined 9" xfId="47622"/>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2" xfId="47897"/>
    <cellStyle name="Total 1 2 2 2 2" xfId="47898"/>
    <cellStyle name="Total 1 2 2 2 3" xfId="47899"/>
    <cellStyle name="Total 1 2 2 3" xfId="47900"/>
    <cellStyle name="Total 1 2 2 3 2" xfId="47901"/>
    <cellStyle name="Total 1 2 2 3 3" xfId="47902"/>
    <cellStyle name="Total 1 2 2 4" xfId="47903"/>
    <cellStyle name="Total 1 2 2 4 2" xfId="47904"/>
    <cellStyle name="Total 1 2 2 4 3" xfId="47905"/>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3" xfId="47923"/>
    <cellStyle name="Total 1 2 30" xfId="47924"/>
    <cellStyle name="Total 1 2 4" xfId="47925"/>
    <cellStyle name="Total 1 2 4 2" xfId="47926"/>
    <cellStyle name="Total 1 2 4 3" xfId="47927"/>
    <cellStyle name="Total 1 2 5" xfId="47928"/>
    <cellStyle name="Total 1 2 5 2" xfId="47929"/>
    <cellStyle name="Total 1 2 5 3" xfId="47930"/>
    <cellStyle name="Total 1 2 6" xfId="47931"/>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3" xfId="48145"/>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3" xfId="48158"/>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5" xfId="48179"/>
    <cellStyle name="Total 2 6" xfId="48180"/>
    <cellStyle name="Total 2 7" xfId="48181"/>
    <cellStyle name="Total 2 8" xfId="48182"/>
    <cellStyle name="Total 2 9" xfId="48183"/>
    <cellStyle name="Total 3" xfId="48184"/>
    <cellStyle name="Total 3 2" xfId="48185"/>
    <cellStyle name="Total 3 3" xfId="48186"/>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Yellow" xfId="48233"/>
  </cellStyles>
  <dxfs count="78">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aylorjo/AppData/Local/Microsoft/Windows/INetCache/Content.Outlook/TA0MFAPA/Pension%20RIGs%20data%20tables%20v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819%20RFPR%20-%20WPD%20EMID%20submission%20-%20Jul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 val="Data"/>
      <sheetName val="Content &amp; Version Control"/>
      <sheetName val="Change log"/>
      <sheetName val="R1 - RoRE"/>
      <sheetName val="R2 - Revenue"/>
      <sheetName val="R3 - Rec to totex"/>
      <sheetName val="R4 - Totex"/>
      <sheetName val="R5 - Output Incentives"/>
      <sheetName val="R6 - Innovation"/>
      <sheetName val="R7 - Financing"/>
      <sheetName val="R7a - Financing input"/>
      <sheetName val="R8 - Net Debt"/>
      <sheetName val="R8a - Net Debt input"/>
      <sheetName val="R9 - RAV"/>
      <sheetName val="R10 - Tax"/>
      <sheetName val="R11 - Dividends"/>
      <sheetName val="R12 - Pensions"/>
      <sheetName val="R13 - Other Activities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ssets.publishing.service.gov.uk/government/uploads/system/uploads/attachment_data/file/801759/PU797_Forecast_for_the_UK_Economy_May_2019_cover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80" zoomScaleNormal="80" zoomScaleSheetLayoutView="90" workbookViewId="0">
      <pane ySplit="3" topLeftCell="A4" activePane="bottomLeft" state="frozen"/>
      <selection activeCell="G29" sqref="G29"/>
      <selection pane="bottomLeft" activeCell="A3" sqref="A3"/>
    </sheetView>
  </sheetViews>
  <sheetFormatPr defaultRowHeight="12.75"/>
  <cols>
    <col min="1" max="1" width="8.375" customWidth="1"/>
    <col min="2" max="2" width="27.125" customWidth="1"/>
    <col min="3" max="6" width="14.125" customWidth="1"/>
    <col min="7" max="7" width="14.125" style="223" customWidth="1"/>
    <col min="8" max="11" width="14.125" customWidth="1"/>
  </cols>
  <sheetData>
    <row r="1" spans="1:11" s="32" customFormat="1" ht="20.25">
      <c r="A1" s="30" t="s">
        <v>307</v>
      </c>
      <c r="B1" s="28"/>
      <c r="C1" s="28"/>
      <c r="D1" s="265"/>
      <c r="E1" s="266"/>
      <c r="F1" s="28"/>
      <c r="G1" s="574"/>
      <c r="H1" s="28"/>
      <c r="I1" s="28"/>
      <c r="J1" s="28"/>
      <c r="K1" s="28"/>
    </row>
    <row r="2" spans="1:11" s="32" customFormat="1" ht="20.25">
      <c r="A2" s="30" t="str">
        <f>'RFPR cover'!C5</f>
        <v>WPD-SWEST</v>
      </c>
      <c r="B2" s="28"/>
      <c r="C2" s="28"/>
      <c r="D2" s="266"/>
      <c r="E2" s="266"/>
      <c r="F2" s="28"/>
      <c r="G2" s="574"/>
      <c r="H2" s="28"/>
      <c r="I2" s="28"/>
      <c r="J2" s="28"/>
      <c r="K2" s="28"/>
    </row>
    <row r="3" spans="1:11" s="32" customFormat="1" ht="20.25">
      <c r="A3" s="30">
        <f>'RFPR cover'!C7</f>
        <v>2019</v>
      </c>
      <c r="B3" s="28"/>
      <c r="C3" s="28"/>
      <c r="D3" s="266"/>
      <c r="E3" s="266"/>
      <c r="F3" s="28"/>
      <c r="G3" s="574"/>
      <c r="H3" s="28"/>
      <c r="I3" s="28"/>
      <c r="J3" s="28"/>
      <c r="K3" s="28"/>
    </row>
    <row r="4" spans="1:11" ht="14.25">
      <c r="A4" s="31"/>
      <c r="B4" s="31"/>
      <c r="C4" s="31"/>
      <c r="D4" s="31"/>
      <c r="E4" s="31"/>
      <c r="H4" s="10"/>
      <c r="I4" s="10"/>
      <c r="J4" s="10"/>
    </row>
    <row r="5" spans="1:11" ht="13.5" customHeight="1">
      <c r="A5" s="31"/>
      <c r="B5" s="79" t="s">
        <v>62</v>
      </c>
      <c r="C5" s="46" t="s">
        <v>249</v>
      </c>
      <c r="D5" s="357"/>
      <c r="E5" s="19"/>
      <c r="F5" s="11"/>
      <c r="G5" s="575" t="s">
        <v>0</v>
      </c>
      <c r="H5" s="10"/>
      <c r="I5" s="10"/>
      <c r="J5" s="10"/>
    </row>
    <row r="6" spans="1:11" ht="13.5" customHeight="1">
      <c r="A6" s="31"/>
      <c r="B6" s="79" t="s">
        <v>189</v>
      </c>
      <c r="C6" s="84" t="str">
        <f>INDEX(Data!$A$73:$A$100,MATCH($C$5,Data!$B$73:$B$100,0),0)&amp;"1"</f>
        <v>ED1</v>
      </c>
      <c r="D6" s="19"/>
      <c r="E6" s="19"/>
      <c r="F6" s="9"/>
      <c r="G6" s="575" t="s">
        <v>1</v>
      </c>
      <c r="H6" s="10"/>
      <c r="I6" s="10"/>
      <c r="J6" s="10"/>
    </row>
    <row r="7" spans="1:11" ht="25.5">
      <c r="A7" s="31"/>
      <c r="B7" s="80" t="s">
        <v>188</v>
      </c>
      <c r="C7" s="85">
        <v>2019</v>
      </c>
      <c r="D7" s="18"/>
      <c r="E7" s="19"/>
      <c r="F7" s="8"/>
      <c r="G7" s="576" t="s">
        <v>2</v>
      </c>
      <c r="H7" s="10"/>
      <c r="I7" s="10"/>
      <c r="J7" s="10"/>
    </row>
    <row r="8" spans="1:11" ht="14.25">
      <c r="A8" s="31"/>
      <c r="B8" s="79" t="s">
        <v>37</v>
      </c>
      <c r="C8" s="86">
        <v>1</v>
      </c>
      <c r="D8" s="19"/>
      <c r="E8" s="18"/>
      <c r="F8" s="7"/>
      <c r="G8" s="575" t="s">
        <v>3</v>
      </c>
      <c r="H8" s="10"/>
      <c r="I8" s="10"/>
      <c r="J8" s="10"/>
    </row>
    <row r="9" spans="1:11" ht="14.25">
      <c r="A9" s="31"/>
      <c r="B9" s="79" t="s">
        <v>38</v>
      </c>
      <c r="C9" s="87">
        <v>43677</v>
      </c>
      <c r="D9" s="18"/>
      <c r="E9" s="18"/>
      <c r="F9" s="6"/>
      <c r="G9" s="575" t="s">
        <v>4</v>
      </c>
      <c r="H9" s="10"/>
      <c r="I9" s="10"/>
      <c r="J9" s="10"/>
    </row>
    <row r="10" spans="1:11" ht="14.25">
      <c r="A10" s="31"/>
      <c r="B10" s="79" t="s">
        <v>70</v>
      </c>
      <c r="C10" s="88">
        <f>SUMIF(Data!$B$72:$B$100,C5,Data!$C$72:$C$100)</f>
        <v>6.4000000000000001E-2</v>
      </c>
      <c r="D10" s="18"/>
      <c r="E10" s="18"/>
      <c r="F10" s="5"/>
      <c r="G10" s="575" t="s">
        <v>5</v>
      </c>
      <c r="H10" s="10"/>
      <c r="I10" s="10"/>
      <c r="J10" s="10"/>
    </row>
    <row r="11" spans="1:11" ht="14.25">
      <c r="A11" s="31"/>
      <c r="B11" s="79" t="s">
        <v>71</v>
      </c>
      <c r="C11" s="89">
        <f>SUMIF(Data!$B$72:$B$100,C5,Data!$D$72:$D$100)</f>
        <v>0.7</v>
      </c>
      <c r="D11" s="19"/>
      <c r="E11" s="19"/>
      <c r="F11" s="4"/>
      <c r="G11" s="575" t="s">
        <v>6</v>
      </c>
      <c r="H11" s="10"/>
      <c r="I11" s="10"/>
      <c r="J11" s="10"/>
    </row>
    <row r="12" spans="1:11">
      <c r="A12" s="31"/>
      <c r="B12" s="79" t="s">
        <v>115</v>
      </c>
      <c r="C12" s="88">
        <f>SUMIF(Data!$B$72:$B$100,C5,Data!$E$72:$E$100)</f>
        <v>0.65</v>
      </c>
      <c r="D12" s="18"/>
      <c r="E12" s="18"/>
      <c r="F12" s="18"/>
      <c r="G12" s="577"/>
    </row>
    <row r="13" spans="1:11">
      <c r="A13" s="31"/>
      <c r="B13" s="79" t="s">
        <v>512</v>
      </c>
      <c r="C13" s="84">
        <f>INDEX(Data!$G$73:$G$100,MATCH($C$5,Data!$B$73:$B$100,0),0)</f>
        <v>2016</v>
      </c>
      <c r="D13" s="18"/>
      <c r="E13" s="18"/>
      <c r="F13" s="78" t="s">
        <v>191</v>
      </c>
    </row>
    <row r="14" spans="1:11">
      <c r="A14" s="31"/>
      <c r="B14" s="81" t="s">
        <v>185</v>
      </c>
      <c r="C14" s="84" t="str">
        <f>INDEX(Data!$H$73:$H$100,MATCH($C$5,Data!$B$73:$B$100,0),0)</f>
        <v>£m 12/13</v>
      </c>
      <c r="D14" s="18"/>
      <c r="E14" s="18"/>
      <c r="F14" s="91">
        <v>0.1</v>
      </c>
      <c r="G14" s="577"/>
    </row>
    <row r="15" spans="1:11">
      <c r="A15" s="31"/>
      <c r="B15" s="18"/>
      <c r="C15" s="18"/>
      <c r="D15" s="18"/>
      <c r="E15" s="18"/>
      <c r="F15" s="18"/>
      <c r="G15" s="577"/>
    </row>
    <row r="85" spans="1:1">
      <c r="A85" s="214"/>
    </row>
  </sheetData>
  <pageMargins left="0.70866141732283472" right="0.70866141732283472" top="0.74803149606299213" bottom="0.74803149606299213" header="0.31496062992125984" footer="0.31496062992125984"/>
  <pageSetup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L28"/>
  <sheetViews>
    <sheetView showGridLines="0" zoomScale="80" zoomScaleNormal="80" workbookViewId="0">
      <pane ySplit="6" topLeftCell="A7" activePane="bottomLeft" state="frozen"/>
      <selection activeCell="G29" sqref="G29"/>
      <selection pane="bottomLeft" activeCell="A3" sqref="A3"/>
    </sheetView>
  </sheetViews>
  <sheetFormatPr defaultRowHeight="12.75"/>
  <cols>
    <col min="1" max="1" width="8.375" customWidth="1"/>
    <col min="2" max="2" width="79.625" customWidth="1"/>
    <col min="3" max="3" width="14.125" style="144" customWidth="1"/>
    <col min="4" max="11" width="11.125" customWidth="1"/>
    <col min="12" max="12" width="5" customWidth="1"/>
  </cols>
  <sheetData>
    <row r="1" spans="1:12" s="32" customFormat="1" ht="20.25">
      <c r="A1" s="268" t="s">
        <v>100</v>
      </c>
      <c r="B1" s="269"/>
      <c r="C1" s="292"/>
      <c r="D1" s="269"/>
      <c r="E1" s="269"/>
      <c r="F1" s="269"/>
      <c r="G1" s="269"/>
      <c r="H1" s="269"/>
      <c r="I1" s="270"/>
      <c r="J1" s="270"/>
      <c r="K1" s="271"/>
      <c r="L1" s="272"/>
    </row>
    <row r="2" spans="1:12" s="32" customFormat="1" ht="20.25">
      <c r="A2" s="126" t="str">
        <f>'RFPR cover'!C5</f>
        <v>WPD-SWEST</v>
      </c>
      <c r="B2" s="30"/>
      <c r="C2" s="142"/>
      <c r="D2" s="30"/>
      <c r="E2" s="30"/>
      <c r="F2" s="30"/>
      <c r="G2" s="30"/>
      <c r="H2" s="30"/>
      <c r="I2" s="27"/>
      <c r="J2" s="27"/>
      <c r="K2" s="27"/>
      <c r="L2" s="127"/>
    </row>
    <row r="3" spans="1:12" s="38" customFormat="1" ht="23.25">
      <c r="A3" s="293">
        <f>'RFPR cover'!C7</f>
        <v>2019</v>
      </c>
      <c r="B3" s="933" t="str">
        <f>'R1 - RoRE'!B3</f>
        <v/>
      </c>
      <c r="C3" s="295"/>
      <c r="D3" s="294"/>
      <c r="E3" s="294"/>
      <c r="F3" s="294"/>
      <c r="G3" s="294"/>
      <c r="H3" s="294"/>
      <c r="I3" s="267"/>
      <c r="J3" s="267"/>
      <c r="K3" s="267"/>
      <c r="L3" s="275"/>
    </row>
    <row r="4" spans="1:12" s="2" customFormat="1" ht="12.75" customHeight="1">
      <c r="C4" s="144"/>
    </row>
    <row r="5" spans="1:12" s="2" customFormat="1">
      <c r="B5" s="3"/>
      <c r="C5" s="144"/>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2" s="2" customFormat="1">
      <c r="C6" s="144"/>
      <c r="D6" s="119">
        <f>'RFPR cover'!$C$13</f>
        <v>2016</v>
      </c>
      <c r="E6" s="120">
        <f>D6+1</f>
        <v>2017</v>
      </c>
      <c r="F6" s="120">
        <f t="shared" ref="F6:K6" si="0">E6+1</f>
        <v>2018</v>
      </c>
      <c r="G6" s="120">
        <f t="shared" si="0"/>
        <v>2019</v>
      </c>
      <c r="H6" s="120">
        <f t="shared" si="0"/>
        <v>2020</v>
      </c>
      <c r="I6" s="120">
        <f t="shared" si="0"/>
        <v>2021</v>
      </c>
      <c r="J6" s="120">
        <f t="shared" si="0"/>
        <v>2022</v>
      </c>
      <c r="K6" s="120">
        <f t="shared" si="0"/>
        <v>2023</v>
      </c>
    </row>
    <row r="7" spans="1:12" s="2" customFormat="1">
      <c r="C7" s="144"/>
    </row>
    <row r="8" spans="1:12" s="2" customFormat="1">
      <c r="B8" s="52" t="s">
        <v>134</v>
      </c>
      <c r="C8" s="145"/>
      <c r="D8" s="58"/>
      <c r="E8" s="58"/>
      <c r="F8" s="58"/>
      <c r="G8" s="58"/>
      <c r="H8" s="58"/>
      <c r="I8" s="58"/>
      <c r="J8" s="58"/>
      <c r="K8" s="58"/>
    </row>
    <row r="9" spans="1:12" s="2" customFormat="1">
      <c r="B9" s="235" t="s">
        <v>519</v>
      </c>
      <c r="C9" s="160" t="s">
        <v>128</v>
      </c>
      <c r="D9" s="621">
        <v>0.49966421000000005</v>
      </c>
      <c r="E9" s="622">
        <v>1.2242102500000003</v>
      </c>
      <c r="F9" s="622">
        <v>1.6018000000000001</v>
      </c>
      <c r="G9" s="622">
        <v>1.0066999999999999</v>
      </c>
      <c r="H9" s="622">
        <v>1.5378437199999999</v>
      </c>
      <c r="I9" s="622">
        <v>1.5378437199999999</v>
      </c>
      <c r="J9" s="622">
        <v>1.230274976</v>
      </c>
      <c r="K9" s="622">
        <v>0.86119248319999997</v>
      </c>
    </row>
    <row r="10" spans="1:12" s="2" customFormat="1">
      <c r="B10" s="235" t="s">
        <v>500</v>
      </c>
      <c r="C10" s="160" t="s">
        <v>128</v>
      </c>
      <c r="D10" s="845">
        <v>0</v>
      </c>
      <c r="E10" s="624">
        <v>0</v>
      </c>
      <c r="F10" s="624">
        <v>0</v>
      </c>
      <c r="G10" s="624">
        <v>0</v>
      </c>
      <c r="H10" s="624">
        <v>0</v>
      </c>
      <c r="I10" s="624">
        <v>0</v>
      </c>
      <c r="J10" s="624">
        <v>0</v>
      </c>
      <c r="K10" s="624">
        <v>0</v>
      </c>
    </row>
    <row r="11" spans="1:12" s="2" customFormat="1">
      <c r="B11" s="235" t="s">
        <v>518</v>
      </c>
      <c r="C11" s="160" t="s">
        <v>128</v>
      </c>
      <c r="D11" s="876">
        <v>4.1040129000000009E-2</v>
      </c>
      <c r="E11" s="877">
        <v>0.12242102500000003</v>
      </c>
      <c r="F11" s="877">
        <v>0.15378000000000003</v>
      </c>
      <c r="G11" s="877">
        <v>0.10067</v>
      </c>
      <c r="H11" s="877">
        <v>0.153784372</v>
      </c>
      <c r="I11" s="877">
        <v>0.153784372</v>
      </c>
      <c r="J11" s="877">
        <v>0.12302749760000001</v>
      </c>
      <c r="K11" s="877">
        <v>8.6119248320000008E-2</v>
      </c>
    </row>
    <row r="12" spans="1:12" s="12" customFormat="1">
      <c r="B12" s="52" t="s">
        <v>132</v>
      </c>
      <c r="C12" s="160" t="s">
        <v>128</v>
      </c>
      <c r="D12" s="637">
        <f>D9-D10-D11</f>
        <v>0.45862408100000007</v>
      </c>
      <c r="E12" s="638">
        <f t="shared" ref="E12:K12" si="1">E9-E10-E11</f>
        <v>1.1017892250000003</v>
      </c>
      <c r="F12" s="638">
        <f t="shared" si="1"/>
        <v>1.4480200000000001</v>
      </c>
      <c r="G12" s="638">
        <f t="shared" si="1"/>
        <v>0.90602999999999989</v>
      </c>
      <c r="H12" s="638">
        <f t="shared" si="1"/>
        <v>1.3840593479999999</v>
      </c>
      <c r="I12" s="638">
        <f t="shared" si="1"/>
        <v>1.3840593479999999</v>
      </c>
      <c r="J12" s="638">
        <f t="shared" si="1"/>
        <v>1.1072474783999999</v>
      </c>
      <c r="K12" s="638">
        <f t="shared" si="1"/>
        <v>0.77507323488000002</v>
      </c>
      <c r="L12" s="2"/>
    </row>
    <row r="13" spans="1:12" s="12" customFormat="1">
      <c r="B13" s="52"/>
      <c r="C13" s="144"/>
      <c r="D13" s="53"/>
      <c r="E13" s="53"/>
      <c r="F13" s="53"/>
      <c r="G13" s="53"/>
      <c r="H13" s="53"/>
      <c r="I13" s="53"/>
      <c r="J13" s="53"/>
      <c r="K13" s="53"/>
      <c r="L13" s="2"/>
    </row>
    <row r="14" spans="1:12" s="2" customFormat="1">
      <c r="B14" s="52" t="s">
        <v>156</v>
      </c>
      <c r="C14" s="145"/>
      <c r="D14" s="58"/>
      <c r="E14" s="58"/>
      <c r="F14" s="58"/>
      <c r="G14" s="58"/>
      <c r="H14" s="58"/>
      <c r="I14" s="58"/>
      <c r="J14" s="58"/>
      <c r="K14" s="58"/>
    </row>
    <row r="15" spans="1:12" s="2" customFormat="1" ht="12.95" customHeight="1">
      <c r="B15" s="235" t="s">
        <v>521</v>
      </c>
      <c r="C15" s="160" t="s">
        <v>128</v>
      </c>
      <c r="D15" s="621">
        <v>1.0900995600000001</v>
      </c>
      <c r="E15" s="622">
        <v>5.799675E-2</v>
      </c>
      <c r="F15" s="622">
        <v>0.16837228000000001</v>
      </c>
      <c r="G15" s="622">
        <v>0.45837662000000001</v>
      </c>
      <c r="H15" s="622">
        <v>6.3094600000000001E-2</v>
      </c>
      <c r="I15" s="622">
        <v>6.3094600000000001E-2</v>
      </c>
      <c r="J15" s="622">
        <v>6.3094600000000001E-2</v>
      </c>
      <c r="K15" s="622">
        <v>6.3094600000000001E-2</v>
      </c>
    </row>
    <row r="16" spans="1:12" s="2" customFormat="1">
      <c r="B16" s="235" t="s">
        <v>520</v>
      </c>
      <c r="C16" s="160" t="s">
        <v>128</v>
      </c>
      <c r="D16" s="623">
        <v>0</v>
      </c>
      <c r="E16" s="624">
        <v>0</v>
      </c>
      <c r="F16" s="624">
        <v>0</v>
      </c>
      <c r="G16" s="624">
        <v>0</v>
      </c>
      <c r="H16" s="624">
        <v>0</v>
      </c>
      <c r="I16" s="624">
        <v>0</v>
      </c>
      <c r="J16" s="624">
        <v>0</v>
      </c>
      <c r="K16" s="624">
        <v>0</v>
      </c>
    </row>
    <row r="17" spans="2:12" s="12" customFormat="1">
      <c r="B17" s="52" t="s">
        <v>133</v>
      </c>
      <c r="C17" s="160" t="s">
        <v>128</v>
      </c>
      <c r="D17" s="637">
        <f>D15-D16</f>
        <v>1.0900995600000001</v>
      </c>
      <c r="E17" s="637">
        <f t="shared" ref="E17:K17" si="2">E15-E16</f>
        <v>5.799675E-2</v>
      </c>
      <c r="F17" s="637">
        <f t="shared" si="2"/>
        <v>0.16837228000000001</v>
      </c>
      <c r="G17" s="637">
        <f t="shared" si="2"/>
        <v>0.45837662000000001</v>
      </c>
      <c r="H17" s="637">
        <f t="shared" si="2"/>
        <v>6.3094600000000001E-2</v>
      </c>
      <c r="I17" s="637">
        <f t="shared" si="2"/>
        <v>6.3094600000000001E-2</v>
      </c>
      <c r="J17" s="637">
        <f t="shared" si="2"/>
        <v>6.3094600000000001E-2</v>
      </c>
      <c r="K17" s="637">
        <f t="shared" si="2"/>
        <v>6.3094600000000001E-2</v>
      </c>
      <c r="L17" s="2"/>
    </row>
    <row r="18" spans="2:12" s="12" customFormat="1">
      <c r="B18" s="52"/>
      <c r="C18" s="144"/>
      <c r="D18" s="53"/>
      <c r="E18" s="53"/>
      <c r="F18" s="53"/>
      <c r="G18" s="53"/>
      <c r="H18" s="53"/>
      <c r="I18" s="53"/>
      <c r="J18" s="53"/>
      <c r="K18" s="53"/>
      <c r="L18" s="2"/>
    </row>
    <row r="19" spans="2:12" s="2" customFormat="1">
      <c r="B19" s="52" t="s">
        <v>157</v>
      </c>
      <c r="C19" s="145"/>
      <c r="D19" s="58"/>
      <c r="E19" s="58"/>
      <c r="F19" s="58"/>
      <c r="G19" s="58"/>
      <c r="H19" s="58"/>
      <c r="I19" s="58"/>
      <c r="J19" s="58"/>
      <c r="K19" s="58"/>
    </row>
    <row r="20" spans="2:12" s="2" customFormat="1">
      <c r="B20" s="235" t="s">
        <v>449</v>
      </c>
      <c r="C20" s="160" t="s">
        <v>128</v>
      </c>
      <c r="D20" s="621">
        <v>0</v>
      </c>
      <c r="E20" s="622">
        <v>0</v>
      </c>
      <c r="F20" s="622">
        <v>0</v>
      </c>
      <c r="G20" s="622">
        <v>0</v>
      </c>
      <c r="H20" s="622">
        <v>9.1973639435986493E-2</v>
      </c>
      <c r="I20" s="622">
        <v>2.2686217903280435</v>
      </c>
      <c r="J20" s="622">
        <v>4.2849539323900219</v>
      </c>
      <c r="K20" s="622">
        <v>3.1117773690941246</v>
      </c>
    </row>
    <row r="21" spans="2:12" s="2" customFormat="1">
      <c r="B21" s="235" t="s">
        <v>518</v>
      </c>
      <c r="C21" s="160" t="s">
        <v>128</v>
      </c>
      <c r="D21" s="659">
        <v>0</v>
      </c>
      <c r="E21" s="660">
        <v>0</v>
      </c>
      <c r="F21" s="660">
        <v>0</v>
      </c>
      <c r="G21" s="660">
        <v>0</v>
      </c>
      <c r="H21" s="660">
        <v>1.0219293270665168E-2</v>
      </c>
      <c r="I21" s="660">
        <v>0.25206908781422704</v>
      </c>
      <c r="J21" s="660">
        <v>0.47610599247519858</v>
      </c>
      <c r="K21" s="660">
        <v>0.34575304101045834</v>
      </c>
    </row>
    <row r="22" spans="2:12" s="2" customFormat="1">
      <c r="B22" s="36"/>
      <c r="C22" s="146"/>
      <c r="D22" s="36"/>
      <c r="E22" s="36"/>
      <c r="F22" s="36"/>
      <c r="G22" s="36"/>
      <c r="H22" s="36"/>
      <c r="I22" s="36"/>
      <c r="J22" s="36"/>
      <c r="K22" s="36"/>
    </row>
    <row r="23" spans="2:12" s="2" customFormat="1">
      <c r="B23" s="235" t="s">
        <v>503</v>
      </c>
      <c r="C23" s="160" t="s">
        <v>128</v>
      </c>
      <c r="D23" s="659">
        <v>0</v>
      </c>
      <c r="E23" s="660">
        <v>0.2</v>
      </c>
      <c r="F23" s="660">
        <v>0.4375</v>
      </c>
      <c r="G23" s="660">
        <v>0</v>
      </c>
      <c r="H23" s="660">
        <v>0</v>
      </c>
      <c r="I23" s="660">
        <v>0</v>
      </c>
      <c r="J23" s="660">
        <v>0</v>
      </c>
      <c r="K23" s="660">
        <v>0</v>
      </c>
    </row>
    <row r="24" spans="2:12" s="2" customFormat="1">
      <c r="B24" s="36"/>
      <c r="C24" s="146"/>
      <c r="D24" s="36"/>
      <c r="E24" s="36"/>
      <c r="F24" s="36"/>
      <c r="G24" s="36"/>
      <c r="H24" s="36"/>
      <c r="I24" s="36"/>
      <c r="J24" s="36"/>
      <c r="K24" s="36"/>
    </row>
    <row r="25" spans="2:12" s="2" customFormat="1">
      <c r="B25" s="82"/>
      <c r="C25" s="158"/>
      <c r="D25" s="82"/>
      <c r="E25" s="82"/>
      <c r="F25" s="82"/>
      <c r="G25" s="82"/>
      <c r="H25" s="82"/>
      <c r="I25" s="82"/>
      <c r="J25" s="82"/>
      <c r="K25" s="82"/>
      <c r="L25" s="82"/>
    </row>
    <row r="26" spans="2:12" s="2" customFormat="1">
      <c r="B26" s="36"/>
      <c r="C26" s="146"/>
      <c r="D26" s="36"/>
      <c r="E26" s="36"/>
      <c r="F26" s="36"/>
      <c r="G26" s="36"/>
      <c r="H26" s="36"/>
      <c r="I26" s="36"/>
      <c r="J26" s="36"/>
      <c r="K26" s="36"/>
    </row>
    <row r="27" spans="2:12" s="2" customFormat="1">
      <c r="B27" s="52" t="s">
        <v>395</v>
      </c>
      <c r="C27" s="146"/>
      <c r="D27" s="36"/>
      <c r="E27" s="36"/>
      <c r="F27" s="36"/>
      <c r="G27" s="36"/>
      <c r="H27" s="36"/>
      <c r="I27" s="36"/>
      <c r="J27" s="36"/>
      <c r="K27" s="36"/>
    </row>
    <row r="28" spans="2:12" s="2" customFormat="1">
      <c r="B28" s="235" t="s">
        <v>501</v>
      </c>
      <c r="C28" s="163" t="str">
        <f>'RFPR cover'!$C$14</f>
        <v>£m 12/13</v>
      </c>
      <c r="D28" s="707">
        <f>(SUM(D10,D11,D21)-D23)/Data!C34</f>
        <v>3.8705536932753359E-2</v>
      </c>
      <c r="E28" s="707">
        <f>(SUM(E10,E11,E21)-E23)/Data!D34</f>
        <v>-7.1630976437496205E-2</v>
      </c>
      <c r="F28" s="707">
        <f>(SUM(F10,F11,F21)-F23)/Data!E34</f>
        <v>-0.25251790053399681</v>
      </c>
      <c r="G28" s="707">
        <f>(SUM(G10,G11,G21)-G23)/Data!F34</f>
        <v>8.6942240423849668E-2</v>
      </c>
      <c r="H28" s="707">
        <f>(SUM(H10,H11,H21)-H23)/Data!G34</f>
        <v>0.13801654223745713</v>
      </c>
      <c r="I28" s="707">
        <f>(SUM(I10,I11,I21)-I23)/Data!H34</f>
        <v>0.3323222011553949</v>
      </c>
      <c r="J28" s="707">
        <f>(SUM(J10,J11,J21)-J23)/Data!I34</f>
        <v>0.47617991838293011</v>
      </c>
      <c r="K28" s="707">
        <f>(SUM(K10,K11,K21)-K23)/Data!J34</f>
        <v>0.33300401928212553</v>
      </c>
      <c r="L28" s="36"/>
    </row>
  </sheetData>
  <conditionalFormatting sqref="D6:K6">
    <cfRule type="expression" dxfId="40" priority="24">
      <formula>AND(D$5="Actuals",E$5="Forecast")</formula>
    </cfRule>
  </conditionalFormatting>
  <conditionalFormatting sqref="D5:K5">
    <cfRule type="expression" dxfId="39"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S90"/>
  <sheetViews>
    <sheetView showGridLines="0" zoomScale="80" zoomScaleNormal="80" workbookViewId="0">
      <pane ySplit="6" topLeftCell="A7" activePane="bottomLeft" state="frozen"/>
      <selection activeCell="G29" sqref="G29"/>
      <selection pane="bottomLeft" activeCell="A3" sqref="A3"/>
    </sheetView>
  </sheetViews>
  <sheetFormatPr defaultRowHeight="12.75"/>
  <cols>
    <col min="1" max="1" width="8.375" customWidth="1"/>
    <col min="2" max="2" width="101.75" customWidth="1"/>
    <col min="3" max="3" width="14.125" customWidth="1"/>
    <col min="4" max="11" width="11.125" customWidth="1"/>
    <col min="12" max="13" width="12.875" customWidth="1"/>
    <col min="14" max="14" width="5" customWidth="1"/>
  </cols>
  <sheetData>
    <row r="1" spans="1:14" s="32" customFormat="1" ht="20.25">
      <c r="A1" s="268" t="s">
        <v>265</v>
      </c>
      <c r="B1" s="269"/>
      <c r="C1" s="269"/>
      <c r="D1" s="269"/>
      <c r="E1" s="269"/>
      <c r="F1" s="269"/>
      <c r="G1" s="269"/>
      <c r="H1" s="269"/>
      <c r="I1" s="270"/>
      <c r="J1" s="270"/>
      <c r="K1" s="271"/>
      <c r="L1" s="271"/>
      <c r="M1" s="271"/>
      <c r="N1" s="272"/>
    </row>
    <row r="2" spans="1:14" s="32" customFormat="1" ht="20.25">
      <c r="A2" s="126" t="str">
        <f>'RFPR cover'!C5</f>
        <v>WPD-SWEST</v>
      </c>
      <c r="B2" s="30"/>
      <c r="C2" s="30"/>
      <c r="D2" s="30"/>
      <c r="E2" s="30"/>
      <c r="F2" s="30"/>
      <c r="G2" s="30"/>
      <c r="H2" s="30"/>
      <c r="I2" s="27"/>
      <c r="J2" s="27"/>
      <c r="K2" s="27"/>
      <c r="L2" s="27"/>
      <c r="M2" s="27"/>
      <c r="N2" s="127"/>
    </row>
    <row r="3" spans="1:14" s="32" customFormat="1" ht="23.25">
      <c r="A3" s="273">
        <f>'RFPR cover'!C7</f>
        <v>2019</v>
      </c>
      <c r="B3" s="933" t="str">
        <f>'R1 - RoRE'!B3</f>
        <v/>
      </c>
      <c r="C3" s="274"/>
      <c r="D3" s="274"/>
      <c r="E3" s="274"/>
      <c r="F3" s="274"/>
      <c r="G3" s="274"/>
      <c r="H3" s="274"/>
      <c r="I3" s="267"/>
      <c r="J3" s="267"/>
      <c r="K3" s="267"/>
      <c r="L3" s="267"/>
      <c r="M3" s="267"/>
      <c r="N3" s="275"/>
    </row>
    <row r="4" spans="1:14" s="32" customFormat="1" ht="12.75" customHeight="1">
      <c r="A4" s="40"/>
      <c r="B4" s="40"/>
      <c r="C4" s="40"/>
      <c r="D4" s="40"/>
      <c r="E4" s="40"/>
      <c r="F4" s="40"/>
      <c r="G4" s="40"/>
      <c r="H4" s="40"/>
      <c r="I4" s="35"/>
      <c r="J4" s="35"/>
      <c r="K4" s="35"/>
      <c r="L4" s="34"/>
    </row>
    <row r="5" spans="1:14" s="2" customFormat="1">
      <c r="B5" s="3"/>
      <c r="C5" s="3"/>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4" s="2" customFormat="1" ht="25.5">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L6" s="103" t="str">
        <f>"Cumulative to "&amp;'RFPR cover'!$C$7</f>
        <v>Cumulative to 2019</v>
      </c>
      <c r="M6" s="296" t="s">
        <v>109</v>
      </c>
    </row>
    <row r="7" spans="1:14" s="2" customFormat="1"/>
    <row r="8" spans="1:14">
      <c r="B8" s="505" t="s">
        <v>303</v>
      </c>
      <c r="C8" s="160" t="s">
        <v>128</v>
      </c>
      <c r="D8" s="366">
        <v>40.500406810000015</v>
      </c>
      <c r="E8" s="406">
        <v>40.643425529999988</v>
      </c>
      <c r="F8" s="406">
        <v>44.395337319999996</v>
      </c>
      <c r="G8" s="406">
        <v>42.347055789999999</v>
      </c>
      <c r="H8" s="406">
        <v>42.270784134516781</v>
      </c>
      <c r="I8" s="406">
        <v>41.910564447612217</v>
      </c>
      <c r="J8" s="406">
        <v>41.730128519264078</v>
      </c>
      <c r="K8" s="407">
        <v>41.40053070050967</v>
      </c>
      <c r="L8" s="36"/>
      <c r="M8" s="36"/>
    </row>
    <row r="9" spans="1:14">
      <c r="B9" s="14"/>
      <c r="C9" s="160"/>
      <c r="D9" s="239"/>
      <c r="E9" s="239"/>
      <c r="F9" s="239"/>
      <c r="G9" s="239"/>
      <c r="H9" s="239"/>
      <c r="I9" s="239"/>
      <c r="J9" s="239"/>
      <c r="K9" s="239"/>
      <c r="L9" s="36"/>
      <c r="M9" s="36"/>
    </row>
    <row r="10" spans="1:14">
      <c r="B10" s="14" t="s">
        <v>479</v>
      </c>
      <c r="C10" s="16"/>
      <c r="D10" s="240"/>
      <c r="E10" s="240"/>
      <c r="F10" s="240"/>
      <c r="G10" s="240"/>
      <c r="H10" s="240"/>
      <c r="I10" s="240"/>
      <c r="J10" s="240"/>
      <c r="K10" s="240"/>
      <c r="L10" s="36"/>
      <c r="M10" s="36"/>
    </row>
    <row r="11" spans="1:14">
      <c r="B11" s="390" t="s">
        <v>12</v>
      </c>
      <c r="C11" s="160" t="s">
        <v>128</v>
      </c>
      <c r="D11" s="398">
        <v>0</v>
      </c>
      <c r="E11" s="399">
        <v>0</v>
      </c>
      <c r="F11" s="399">
        <v>0</v>
      </c>
      <c r="G11" s="399">
        <v>0</v>
      </c>
      <c r="H11" s="399">
        <v>0</v>
      </c>
      <c r="I11" s="399">
        <v>0</v>
      </c>
      <c r="J11" s="399">
        <v>0</v>
      </c>
      <c r="K11" s="403">
        <v>0</v>
      </c>
      <c r="L11" s="36"/>
      <c r="M11" s="36"/>
    </row>
    <row r="12" spans="1:14">
      <c r="B12" s="390" t="s">
        <v>13</v>
      </c>
      <c r="C12" s="160" t="s">
        <v>128</v>
      </c>
      <c r="D12" s="365">
        <v>8.7971999999999995E-2</v>
      </c>
      <c r="E12" s="400">
        <v>8.7971999999999995E-2</v>
      </c>
      <c r="F12" s="400">
        <v>0.13120000000000001</v>
      </c>
      <c r="G12" s="400">
        <v>0.21774611999999999</v>
      </c>
      <c r="H12" s="400">
        <v>0.17448807999999999</v>
      </c>
      <c r="I12" s="400">
        <v>8.7972000000000009E-2</v>
      </c>
      <c r="J12" s="400">
        <v>8.7972000000000009E-2</v>
      </c>
      <c r="K12" s="404">
        <v>8.7972000000000009E-2</v>
      </c>
      <c r="L12" s="36"/>
      <c r="M12" s="36"/>
    </row>
    <row r="13" spans="1:14">
      <c r="B13" s="390" t="s">
        <v>14</v>
      </c>
      <c r="C13" s="160" t="s">
        <v>128</v>
      </c>
      <c r="D13" s="365">
        <v>0</v>
      </c>
      <c r="E13" s="400">
        <v>0</v>
      </c>
      <c r="F13" s="400">
        <v>0</v>
      </c>
      <c r="G13" s="400">
        <v>0</v>
      </c>
      <c r="H13" s="400">
        <v>0</v>
      </c>
      <c r="I13" s="400">
        <v>0</v>
      </c>
      <c r="J13" s="400">
        <v>0</v>
      </c>
      <c r="K13" s="404">
        <v>0</v>
      </c>
      <c r="L13" s="36"/>
      <c r="M13" s="36"/>
    </row>
    <row r="14" spans="1:14">
      <c r="B14" s="390" t="s">
        <v>15</v>
      </c>
      <c r="C14" s="160" t="s">
        <v>128</v>
      </c>
      <c r="D14" s="365">
        <v>0</v>
      </c>
      <c r="E14" s="400">
        <v>0</v>
      </c>
      <c r="F14" s="400">
        <v>0</v>
      </c>
      <c r="G14" s="400">
        <v>0</v>
      </c>
      <c r="H14" s="400">
        <v>0</v>
      </c>
      <c r="I14" s="400">
        <v>0</v>
      </c>
      <c r="J14" s="400">
        <v>0</v>
      </c>
      <c r="K14" s="404">
        <v>0</v>
      </c>
      <c r="L14" s="36"/>
      <c r="M14" s="36"/>
    </row>
    <row r="15" spans="1:14">
      <c r="B15" s="390" t="s">
        <v>16</v>
      </c>
      <c r="C15" s="160" t="s">
        <v>128</v>
      </c>
      <c r="D15" s="365">
        <v>0</v>
      </c>
      <c r="E15" s="400">
        <v>0</v>
      </c>
      <c r="F15" s="400">
        <v>0</v>
      </c>
      <c r="G15" s="400">
        <v>0</v>
      </c>
      <c r="H15" s="400">
        <v>0</v>
      </c>
      <c r="I15" s="400">
        <v>0</v>
      </c>
      <c r="J15" s="400">
        <v>0</v>
      </c>
      <c r="K15" s="404">
        <v>0</v>
      </c>
      <c r="L15" s="36"/>
      <c r="M15" s="36"/>
    </row>
    <row r="16" spans="1:14">
      <c r="B16" s="390" t="s">
        <v>17</v>
      </c>
      <c r="C16" s="160" t="s">
        <v>128</v>
      </c>
      <c r="D16" s="365">
        <v>-7.7999999999999972</v>
      </c>
      <c r="E16" s="400">
        <v>-3.6968999999999994</v>
      </c>
      <c r="F16" s="400">
        <v>-1.962</v>
      </c>
      <c r="G16" s="400">
        <v>-2.044000000000004</v>
      </c>
      <c r="H16" s="400">
        <v>1.054184852179965</v>
      </c>
      <c r="I16" s="400">
        <v>2.7729738710643232</v>
      </c>
      <c r="J16" s="400">
        <v>3.4006996966582079</v>
      </c>
      <c r="K16" s="404">
        <v>4.0541971568977289</v>
      </c>
      <c r="L16" s="36"/>
    </row>
    <row r="17" spans="2:12">
      <c r="B17" s="390" t="s">
        <v>283</v>
      </c>
      <c r="C17" s="160" t="s">
        <v>128</v>
      </c>
      <c r="D17" s="365">
        <v>-0.28404911999999999</v>
      </c>
      <c r="E17" s="400">
        <v>-0.28404912000000004</v>
      </c>
      <c r="F17" s="400">
        <v>-0.39200000000000002</v>
      </c>
      <c r="G17" s="400">
        <v>-0.60703012000000012</v>
      </c>
      <c r="H17" s="400">
        <v>-0.60828379760868379</v>
      </c>
      <c r="I17" s="400">
        <v>-0.60662182001958964</v>
      </c>
      <c r="J17" s="400">
        <v>-0.60662182001958964</v>
      </c>
      <c r="K17" s="404">
        <v>-0.60662182001958875</v>
      </c>
      <c r="L17" s="36"/>
    </row>
    <row r="18" spans="2:12" ht="12.75" customHeight="1">
      <c r="B18" s="390" t="s">
        <v>18</v>
      </c>
      <c r="C18" s="160" t="s">
        <v>128</v>
      </c>
      <c r="D18" s="365">
        <v>-0.35897534000000003</v>
      </c>
      <c r="E18" s="400">
        <v>-0.19304656000000001</v>
      </c>
      <c r="F18" s="400">
        <v>-0.29749999999999999</v>
      </c>
      <c r="G18" s="400">
        <v>-0.34300001000000002</v>
      </c>
      <c r="H18" s="400">
        <v>-0.23477713777243808</v>
      </c>
      <c r="I18" s="400">
        <v>-0.26371994256479209</v>
      </c>
      <c r="J18" s="400">
        <v>-0.34300000000000003</v>
      </c>
      <c r="K18" s="404">
        <v>-0.34003274227802277</v>
      </c>
      <c r="L18" s="36"/>
    </row>
    <row r="19" spans="2:12">
      <c r="B19" s="390" t="s">
        <v>574</v>
      </c>
      <c r="C19" s="160" t="s">
        <v>128</v>
      </c>
      <c r="D19" s="365">
        <v>0.30099999999999999</v>
      </c>
      <c r="E19" s="400">
        <v>0.46400000000000002</v>
      </c>
      <c r="F19" s="400">
        <v>0.64200000000000002</v>
      </c>
      <c r="G19" s="400">
        <v>2.0569999999999999</v>
      </c>
      <c r="H19" s="400">
        <v>0.89399999999999968</v>
      </c>
      <c r="I19" s="400">
        <v>1.0319999999999998</v>
      </c>
      <c r="J19" s="400">
        <v>1.0319999999999998</v>
      </c>
      <c r="K19" s="404">
        <v>1.0319999999999998</v>
      </c>
      <c r="L19" s="36"/>
    </row>
    <row r="20" spans="2:12">
      <c r="B20" s="390" t="s">
        <v>573</v>
      </c>
      <c r="C20" s="160" t="s">
        <v>128</v>
      </c>
      <c r="D20" s="365">
        <v>-0.22619999999999998</v>
      </c>
      <c r="E20" s="400">
        <v>-0.14218733000000003</v>
      </c>
      <c r="F20" s="400">
        <v>-0.16009999999999999</v>
      </c>
      <c r="G20" s="400">
        <v>-0.24894366000000004</v>
      </c>
      <c r="H20" s="400">
        <v>-0.22255897000000002</v>
      </c>
      <c r="I20" s="400">
        <v>-0.22255897000000002</v>
      </c>
      <c r="J20" s="400">
        <v>-0.22255897000000002</v>
      </c>
      <c r="K20" s="404">
        <v>-0.22255897000000002</v>
      </c>
      <c r="L20" s="36"/>
    </row>
    <row r="21" spans="2:12">
      <c r="B21" s="390" t="s">
        <v>575</v>
      </c>
      <c r="C21" s="160" t="s">
        <v>128</v>
      </c>
      <c r="D21" s="365">
        <v>0</v>
      </c>
      <c r="E21" s="400">
        <v>0</v>
      </c>
      <c r="F21" s="400">
        <v>0</v>
      </c>
      <c r="G21" s="400">
        <v>0.22053096</v>
      </c>
      <c r="H21" s="400">
        <v>0</v>
      </c>
      <c r="I21" s="400">
        <v>0</v>
      </c>
      <c r="J21" s="400">
        <v>0</v>
      </c>
      <c r="K21" s="404">
        <v>0</v>
      </c>
      <c r="L21" s="36"/>
    </row>
    <row r="22" spans="2:12">
      <c r="B22" s="390" t="s">
        <v>352</v>
      </c>
      <c r="C22" s="160" t="s">
        <v>128</v>
      </c>
      <c r="D22" s="365">
        <v>0</v>
      </c>
      <c r="E22" s="400">
        <v>0</v>
      </c>
      <c r="F22" s="400">
        <v>0</v>
      </c>
      <c r="G22" s="400">
        <v>0</v>
      </c>
      <c r="H22" s="400">
        <v>0</v>
      </c>
      <c r="I22" s="400">
        <v>0</v>
      </c>
      <c r="J22" s="400">
        <v>0</v>
      </c>
      <c r="K22" s="404">
        <v>0</v>
      </c>
      <c r="L22" s="36"/>
    </row>
    <row r="23" spans="2:12">
      <c r="B23" s="390" t="s">
        <v>353</v>
      </c>
      <c r="C23" s="160" t="s">
        <v>128</v>
      </c>
      <c r="D23" s="365">
        <v>0</v>
      </c>
      <c r="E23" s="400">
        <v>0</v>
      </c>
      <c r="F23" s="400">
        <v>0</v>
      </c>
      <c r="G23" s="400">
        <v>0</v>
      </c>
      <c r="H23" s="400">
        <v>0</v>
      </c>
      <c r="I23" s="400">
        <v>0</v>
      </c>
      <c r="J23" s="400">
        <v>0</v>
      </c>
      <c r="K23" s="404">
        <v>0</v>
      </c>
      <c r="L23" s="36"/>
    </row>
    <row r="24" spans="2:12">
      <c r="B24" s="390" t="s">
        <v>354</v>
      </c>
      <c r="C24" s="160" t="s">
        <v>128</v>
      </c>
      <c r="D24" s="365">
        <v>0</v>
      </c>
      <c r="E24" s="400">
        <v>0</v>
      </c>
      <c r="F24" s="400">
        <v>0</v>
      </c>
      <c r="G24" s="400">
        <v>0</v>
      </c>
      <c r="H24" s="400">
        <v>0</v>
      </c>
      <c r="I24" s="400">
        <v>0</v>
      </c>
      <c r="J24" s="400">
        <v>0</v>
      </c>
      <c r="K24" s="404">
        <v>0</v>
      </c>
      <c r="L24" s="36"/>
    </row>
    <row r="25" spans="2:12">
      <c r="B25" s="390" t="s">
        <v>355</v>
      </c>
      <c r="C25" s="160" t="s">
        <v>128</v>
      </c>
      <c r="D25" s="365">
        <v>0</v>
      </c>
      <c r="E25" s="400">
        <v>0</v>
      </c>
      <c r="F25" s="400">
        <v>0</v>
      </c>
      <c r="G25" s="400">
        <v>0</v>
      </c>
      <c r="H25" s="400">
        <v>0</v>
      </c>
      <c r="I25" s="400">
        <v>0</v>
      </c>
      <c r="J25" s="400">
        <v>0</v>
      </c>
      <c r="K25" s="404">
        <v>0</v>
      </c>
      <c r="L25" s="36"/>
    </row>
    <row r="26" spans="2:12">
      <c r="B26" s="390" t="s">
        <v>356</v>
      </c>
      <c r="C26" s="160" t="s">
        <v>128</v>
      </c>
      <c r="D26" s="365">
        <v>0</v>
      </c>
      <c r="E26" s="400">
        <v>0</v>
      </c>
      <c r="F26" s="400">
        <v>0</v>
      </c>
      <c r="G26" s="400">
        <v>0</v>
      </c>
      <c r="H26" s="400">
        <v>0</v>
      </c>
      <c r="I26" s="400">
        <v>0</v>
      </c>
      <c r="J26" s="400">
        <v>0</v>
      </c>
      <c r="K26" s="404">
        <v>0</v>
      </c>
      <c r="L26" s="36"/>
    </row>
    <row r="27" spans="2:12">
      <c r="B27" s="390" t="s">
        <v>357</v>
      </c>
      <c r="C27" s="160" t="s">
        <v>128</v>
      </c>
      <c r="D27" s="401">
        <v>0</v>
      </c>
      <c r="E27" s="402">
        <v>0</v>
      </c>
      <c r="F27" s="402">
        <v>0</v>
      </c>
      <c r="G27" s="402">
        <v>0</v>
      </c>
      <c r="H27" s="402">
        <v>0</v>
      </c>
      <c r="I27" s="402">
        <v>0</v>
      </c>
      <c r="J27" s="402">
        <v>0</v>
      </c>
      <c r="K27" s="405">
        <v>0</v>
      </c>
      <c r="L27" s="36"/>
    </row>
    <row r="28" spans="2:12">
      <c r="B28" s="13" t="s">
        <v>19</v>
      </c>
      <c r="C28" s="160" t="s">
        <v>128</v>
      </c>
      <c r="D28" s="150">
        <f t="shared" ref="D28:K28" si="1">SUM(D8,D11:D27)</f>
        <v>32.220154350000023</v>
      </c>
      <c r="E28" s="151">
        <f t="shared" si="1"/>
        <v>36.879214519999991</v>
      </c>
      <c r="F28" s="151">
        <f t="shared" si="1"/>
        <v>42.356937319999993</v>
      </c>
      <c r="G28" s="151">
        <f t="shared" si="1"/>
        <v>41.599359079999999</v>
      </c>
      <c r="H28" s="151">
        <f t="shared" si="1"/>
        <v>43.327837161315621</v>
      </c>
      <c r="I28" s="151">
        <f t="shared" si="1"/>
        <v>44.710609586092154</v>
      </c>
      <c r="J28" s="151">
        <f t="shared" si="1"/>
        <v>45.078619425902687</v>
      </c>
      <c r="K28" s="152">
        <f t="shared" si="1"/>
        <v>45.405486325109784</v>
      </c>
      <c r="L28" s="36"/>
    </row>
    <row r="29" spans="2:12">
      <c r="B29" s="391" t="s">
        <v>305</v>
      </c>
      <c r="C29" s="160" t="s">
        <v>128</v>
      </c>
      <c r="D29" s="408"/>
      <c r="E29" s="409"/>
      <c r="F29" s="409"/>
      <c r="G29" s="708"/>
      <c r="H29" s="708">
        <v>0</v>
      </c>
      <c r="I29" s="708">
        <v>1.0003805555555558</v>
      </c>
      <c r="J29" s="708">
        <v>4.0315666666666665</v>
      </c>
      <c r="K29" s="709">
        <v>6.0829166666666676</v>
      </c>
      <c r="L29" s="36"/>
    </row>
    <row r="30" spans="2:12">
      <c r="B30" s="364" t="s">
        <v>304</v>
      </c>
      <c r="C30" s="160" t="s">
        <v>128</v>
      </c>
      <c r="D30" s="150">
        <f>SUM(D28:D29)</f>
        <v>32.220154350000023</v>
      </c>
      <c r="E30" s="151">
        <f t="shared" ref="E30:K30" si="2">SUM(E28:E29)</f>
        <v>36.879214519999991</v>
      </c>
      <c r="F30" s="151">
        <f t="shared" si="2"/>
        <v>42.356937319999993</v>
      </c>
      <c r="G30" s="151">
        <f t="shared" si="2"/>
        <v>41.599359079999999</v>
      </c>
      <c r="H30" s="151">
        <f t="shared" si="2"/>
        <v>43.327837161315621</v>
      </c>
      <c r="I30" s="151">
        <f t="shared" si="2"/>
        <v>45.710990141647713</v>
      </c>
      <c r="J30" s="151">
        <f t="shared" si="2"/>
        <v>49.11018609256935</v>
      </c>
      <c r="K30" s="152">
        <f t="shared" si="2"/>
        <v>51.488402991776454</v>
      </c>
    </row>
    <row r="31" spans="2:12">
      <c r="B31" s="223" t="s">
        <v>21</v>
      </c>
      <c r="C31" s="160" t="s">
        <v>128</v>
      </c>
      <c r="D31" s="613">
        <v>34.432361430000022</v>
      </c>
      <c r="E31" s="614">
        <v>39.644638709999988</v>
      </c>
      <c r="F31" s="614">
        <v>45.093866389999995</v>
      </c>
      <c r="G31" s="614">
        <v>44.614114499999999</v>
      </c>
      <c r="H31" s="614">
        <v>46.123705101315622</v>
      </c>
      <c r="I31" s="614">
        <v>48.506858081647714</v>
      </c>
      <c r="J31" s="614">
        <v>51.906054032569351</v>
      </c>
      <c r="K31" s="710">
        <v>54.284270931776454</v>
      </c>
    </row>
    <row r="32" spans="2:12">
      <c r="B32" s="223" t="s">
        <v>473</v>
      </c>
      <c r="C32" s="160" t="s">
        <v>128</v>
      </c>
      <c r="D32" s="617">
        <v>-2.2122070800000002</v>
      </c>
      <c r="E32" s="618">
        <v>-2.7654241899999996</v>
      </c>
      <c r="F32" s="618">
        <v>-2.7369290700000004</v>
      </c>
      <c r="G32" s="618">
        <v>-3.0147554200000002</v>
      </c>
      <c r="H32" s="618">
        <v>-2.7958679400000004</v>
      </c>
      <c r="I32" s="618">
        <v>-2.7958679400000004</v>
      </c>
      <c r="J32" s="618">
        <v>-2.7958679400000004</v>
      </c>
      <c r="K32" s="711">
        <v>-2.7958679400000004</v>
      </c>
    </row>
    <row r="33" spans="2:19">
      <c r="B33" s="223"/>
      <c r="D33" s="236" t="str">
        <f>IF(ABS(D30-SUM(D31:D32))&lt;'RFPR cover'!$F$14,"OK","ERROR")</f>
        <v>OK</v>
      </c>
      <c r="E33" s="237" t="str">
        <f>IF(ABS(E30-SUM(E31:E32))&lt;'RFPR cover'!$F$14,"OK","ERROR")</f>
        <v>OK</v>
      </c>
      <c r="F33" s="237" t="str">
        <f>IF(ABS(F30-SUM(F31:F32))&lt;'RFPR cover'!$F$14,"OK","ERROR")</f>
        <v>OK</v>
      </c>
      <c r="G33" s="237" t="str">
        <f>IF(ABS(G30-SUM(G31:G32))&lt;'RFPR cover'!$F$14,"OK","ERROR")</f>
        <v>OK</v>
      </c>
      <c r="H33" s="237" t="str">
        <f>IF(ABS(H30-SUM(H31:H32))&lt;'RFPR cover'!$F$14,"OK","ERROR")</f>
        <v>OK</v>
      </c>
      <c r="I33" s="237" t="str">
        <f>IF(ABS(I30-SUM(I31:I32))&lt;'RFPR cover'!$F$14,"OK","ERROR")</f>
        <v>OK</v>
      </c>
      <c r="J33" s="237" t="str">
        <f>IF(ABS(J30-SUM(J31:J32))&lt;'RFPR cover'!$F$14,"OK","ERROR")</f>
        <v>OK</v>
      </c>
      <c r="K33" s="238" t="str">
        <f>IF(ABS(K30-SUM(K31:K32))&lt;'RFPR cover'!$F$14,"OK","ERROR")</f>
        <v>OK</v>
      </c>
    </row>
    <row r="34" spans="2:19">
      <c r="D34" s="23"/>
      <c r="E34" s="23"/>
      <c r="F34" s="23"/>
      <c r="G34" s="23"/>
      <c r="H34" s="23"/>
      <c r="I34" s="23"/>
      <c r="J34" s="23"/>
      <c r="K34" s="23"/>
    </row>
    <row r="35" spans="2:19">
      <c r="B35" s="223" t="s">
        <v>536</v>
      </c>
      <c r="C35" s="160" t="s">
        <v>128</v>
      </c>
      <c r="D35" s="613">
        <v>3.8227500000000001</v>
      </c>
      <c r="E35" s="614">
        <v>7.5352499999999996</v>
      </c>
      <c r="F35" s="614">
        <v>11.80575</v>
      </c>
      <c r="G35" s="614">
        <v>7.8704999999999998</v>
      </c>
      <c r="H35" s="614">
        <v>8.3531503124999986</v>
      </c>
      <c r="I35" s="614">
        <v>9.0622731086718744</v>
      </c>
      <c r="J35" s="614">
        <v>10.15282787099045</v>
      </c>
      <c r="K35" s="710">
        <v>10.632842664733992</v>
      </c>
    </row>
    <row r="36" spans="2:19">
      <c r="D36" s="23"/>
      <c r="E36" s="23"/>
      <c r="F36" s="23"/>
      <c r="G36" s="23"/>
      <c r="H36" s="23"/>
      <c r="I36" s="23"/>
      <c r="J36" s="23"/>
      <c r="K36" s="23"/>
    </row>
    <row r="37" spans="2:19">
      <c r="B37" s="223" t="s">
        <v>82</v>
      </c>
      <c r="C37" s="160" t="s">
        <v>128</v>
      </c>
      <c r="D37" s="910">
        <f>('R8 - Net Debt'!D54-AVERAGE('R8 - Net Debt'!D8,'R8 - Net Debt'!D10))*(Data!C36-1)</f>
        <v>8.3498541540010542</v>
      </c>
      <c r="E37" s="910">
        <f>('R8 - Net Debt'!E54-AVERAGE('R8 - Net Debt'!E8,'R8 - Net Debt'!E10))*(Data!D36-1)</f>
        <v>16.689220753739118</v>
      </c>
      <c r="F37" s="910">
        <f>('R8 - Net Debt'!F54-AVERAGE('R8 - Net Debt'!F8,'R8 - Net Debt'!F10))*(Data!E36-1)</f>
        <v>33.324913950835032</v>
      </c>
      <c r="G37" s="910">
        <f>('R8 - Net Debt'!G54-AVERAGE('R8 - Net Debt'!G8,'R8 - Net Debt'!G10))*(Data!F36-1)</f>
        <v>31.099527811296678</v>
      </c>
      <c r="H37" s="910">
        <f>('R8 - Net Debt'!H54-AVERAGE('R8 - Net Debt'!H8,'R8 - Net Debt'!H10))*(Data!G36-1)</f>
        <v>26.909167973395419</v>
      </c>
      <c r="I37" s="910">
        <f>('R8 - Net Debt'!I54-AVERAGE('R8 - Net Debt'!I8,'R8 - Net Debt'!I10))*(Data!H36-1)</f>
        <v>29.622999455285637</v>
      </c>
      <c r="J37" s="910">
        <f>('R8 - Net Debt'!J54-AVERAGE('R8 - Net Debt'!J8,'R8 - Net Debt'!J10))*(Data!I36-1)</f>
        <v>35.618201106640512</v>
      </c>
      <c r="K37" s="910">
        <f>('R8 - Net Debt'!K54-AVERAGE('R8 - Net Debt'!K8,'R8 - Net Debt'!K10))*(Data!J36-1)</f>
        <v>38.587525030929079</v>
      </c>
      <c r="N37" s="341"/>
    </row>
    <row r="38" spans="2:19" s="32" customFormat="1">
      <c r="B38" s="222"/>
      <c r="C38" s="849"/>
      <c r="D38" s="851"/>
      <c r="E38" s="851"/>
      <c r="F38" s="851"/>
      <c r="G38" s="851"/>
      <c r="H38" s="851"/>
      <c r="I38" s="851"/>
      <c r="J38" s="851"/>
      <c r="K38" s="851"/>
      <c r="L38"/>
      <c r="M38"/>
      <c r="N38" s="850"/>
      <c r="P38"/>
      <c r="Q38"/>
      <c r="R38"/>
      <c r="S38"/>
    </row>
    <row r="39" spans="2:19">
      <c r="B39" s="223" t="s">
        <v>487</v>
      </c>
      <c r="C39" s="160" t="s">
        <v>128</v>
      </c>
      <c r="D39" s="104">
        <f t="shared" ref="D39:K39" si="3">D30-D37</f>
        <v>23.870300195998968</v>
      </c>
      <c r="E39" s="104">
        <f t="shared" si="3"/>
        <v>20.189993766260873</v>
      </c>
      <c r="F39" s="104">
        <f t="shared" si="3"/>
        <v>9.0320233691649605</v>
      </c>
      <c r="G39" s="104">
        <f t="shared" si="3"/>
        <v>10.499831268703321</v>
      </c>
      <c r="H39" s="104">
        <f t="shared" si="3"/>
        <v>16.418669187920202</v>
      </c>
      <c r="I39" s="104">
        <f t="shared" si="3"/>
        <v>16.087990686362076</v>
      </c>
      <c r="J39" s="104">
        <f t="shared" si="3"/>
        <v>13.491984985928838</v>
      </c>
      <c r="K39" s="104">
        <f t="shared" si="3"/>
        <v>12.900877960847374</v>
      </c>
    </row>
    <row r="40" spans="2:19">
      <c r="B40" s="223"/>
      <c r="C40" s="160"/>
      <c r="D40" s="160"/>
      <c r="E40" s="160"/>
      <c r="F40" s="160"/>
      <c r="G40" s="160"/>
      <c r="H40" s="160"/>
      <c r="I40" s="160"/>
      <c r="J40" s="160"/>
      <c r="K40" s="160"/>
      <c r="L40" s="160"/>
      <c r="N40" s="341"/>
    </row>
    <row r="41" spans="2:19">
      <c r="B41" s="879" t="s">
        <v>377</v>
      </c>
      <c r="C41" s="160" t="s">
        <v>127</v>
      </c>
      <c r="D41" s="531">
        <f>Data!C34</f>
        <v>1.0603167467048125</v>
      </c>
      <c r="E41" s="531">
        <f>Data!D34</f>
        <v>1.0830366813119445</v>
      </c>
      <c r="F41" s="531">
        <f>Data!E34</f>
        <v>1.1235639113109226</v>
      </c>
      <c r="G41" s="531">
        <f>Data!F34</f>
        <v>1.1578951670583426</v>
      </c>
      <c r="H41" s="531">
        <f>Data!G34</f>
        <v>1.1882899151936241</v>
      </c>
      <c r="I41" s="531">
        <f>Data!H34</f>
        <v>1.2212649603402472</v>
      </c>
      <c r="J41" s="531">
        <f>Data!I34</f>
        <v>1.2582082253905398</v>
      </c>
      <c r="K41" s="531">
        <f>Data!J34</f>
        <v>1.296898128321299</v>
      </c>
      <c r="L41" s="160"/>
      <c r="N41" s="341"/>
    </row>
    <row r="42" spans="2:19">
      <c r="L42" s="163"/>
      <c r="M42" s="163"/>
      <c r="N42" s="163"/>
    </row>
    <row r="43" spans="2:19">
      <c r="B43" s="860" t="s">
        <v>433</v>
      </c>
      <c r="C43" s="164" t="str">
        <f>'RFPR cover'!$C$14</f>
        <v>£m 12/13</v>
      </c>
      <c r="D43" s="153">
        <f t="shared" ref="D43:K43" si="4">D39/D41</f>
        <v>22.512424018748764</v>
      </c>
      <c r="E43" s="154">
        <f t="shared" si="4"/>
        <v>18.642022116742687</v>
      </c>
      <c r="F43" s="154">
        <f t="shared" si="4"/>
        <v>8.0387268389804483</v>
      </c>
      <c r="G43" s="154">
        <f t="shared" si="4"/>
        <v>9.0680327264672567</v>
      </c>
      <c r="H43" s="154">
        <f t="shared" si="4"/>
        <v>13.817056745150349</v>
      </c>
      <c r="I43" s="154">
        <f t="shared" si="4"/>
        <v>13.173218923664136</v>
      </c>
      <c r="J43" s="154">
        <f t="shared" si="4"/>
        <v>10.723173409346463</v>
      </c>
      <c r="K43" s="155">
        <f t="shared" si="4"/>
        <v>9.9474875313038122</v>
      </c>
      <c r="L43" s="716">
        <f>SUM(D43:INDEX(D43:K43,0,MATCH('RFPR cover'!$C$7,$D$6:$K$6,0)))</f>
        <v>58.261205700939165</v>
      </c>
      <c r="M43" s="717">
        <f>SUM(D43:K43)</f>
        <v>105.92214231040391</v>
      </c>
    </row>
    <row r="44" spans="2:19">
      <c r="B44" s="223"/>
      <c r="C44" s="67"/>
      <c r="D44" s="832"/>
      <c r="E44" s="832"/>
      <c r="F44" s="832"/>
      <c r="G44" s="832"/>
      <c r="H44" s="832"/>
      <c r="I44" s="832"/>
      <c r="J44" s="832"/>
      <c r="K44" s="832"/>
      <c r="L44" s="855"/>
      <c r="M44" s="855"/>
    </row>
    <row r="45" spans="2:19">
      <c r="B45" s="860" t="s">
        <v>524</v>
      </c>
      <c r="C45" s="160"/>
      <c r="D45" s="832"/>
      <c r="E45" s="832"/>
      <c r="F45" s="832"/>
      <c r="G45" s="832"/>
      <c r="H45" s="832"/>
      <c r="I45" s="832"/>
      <c r="J45" s="832"/>
      <c r="K45" s="832"/>
      <c r="L45" s="855"/>
      <c r="M45" s="855"/>
    </row>
    <row r="46" spans="2:19">
      <c r="B46" s="390" t="s">
        <v>508</v>
      </c>
      <c r="C46" s="160" t="s">
        <v>128</v>
      </c>
      <c r="D46" s="907">
        <v>0.28404911999999999</v>
      </c>
      <c r="E46" s="907">
        <v>0.28404912000000004</v>
      </c>
      <c r="F46" s="907">
        <v>0.39200000000000002</v>
      </c>
      <c r="G46" s="907">
        <v>0.60703012000000012</v>
      </c>
      <c r="H46" s="907">
        <v>0.60828379760868379</v>
      </c>
      <c r="I46" s="907">
        <v>0.60662182001958964</v>
      </c>
      <c r="J46" s="907">
        <v>0.60662182001958964</v>
      </c>
      <c r="K46" s="907">
        <v>0.60662182001958875</v>
      </c>
      <c r="L46" s="908">
        <v>1.5671283600000003</v>
      </c>
      <c r="M46" s="909">
        <v>3.995277617667452</v>
      </c>
    </row>
    <row r="47" spans="2:19">
      <c r="B47" s="390" t="s">
        <v>527</v>
      </c>
      <c r="C47" s="160" t="s">
        <v>128</v>
      </c>
      <c r="D47" s="907">
        <v>0</v>
      </c>
      <c r="E47" s="907">
        <v>0</v>
      </c>
      <c r="F47" s="907">
        <v>0</v>
      </c>
      <c r="G47" s="907">
        <v>0</v>
      </c>
      <c r="H47" s="907">
        <v>0</v>
      </c>
      <c r="I47" s="907">
        <v>0</v>
      </c>
      <c r="J47" s="907">
        <v>0</v>
      </c>
      <c r="K47" s="907">
        <v>0</v>
      </c>
      <c r="L47" s="908">
        <v>0</v>
      </c>
      <c r="M47" s="909">
        <v>0</v>
      </c>
    </row>
    <row r="48" spans="2:19">
      <c r="B48" s="390" t="s">
        <v>528</v>
      </c>
      <c r="C48" s="160" t="s">
        <v>128</v>
      </c>
      <c r="D48" s="907">
        <v>0</v>
      </c>
      <c r="E48" s="907">
        <v>0</v>
      </c>
      <c r="F48" s="907">
        <v>0</v>
      </c>
      <c r="G48" s="907">
        <v>0</v>
      </c>
      <c r="H48" s="907">
        <v>0</v>
      </c>
      <c r="I48" s="907">
        <v>0</v>
      </c>
      <c r="J48" s="907">
        <v>0</v>
      </c>
      <c r="K48" s="907">
        <v>0</v>
      </c>
      <c r="L48" s="908">
        <v>0</v>
      </c>
      <c r="M48" s="909">
        <v>0</v>
      </c>
    </row>
    <row r="49" spans="1:19">
      <c r="B49" s="390" t="s">
        <v>509</v>
      </c>
      <c r="C49" s="160" t="s">
        <v>128</v>
      </c>
      <c r="D49" s="907">
        <v>0</v>
      </c>
      <c r="E49" s="907">
        <v>0</v>
      </c>
      <c r="F49" s="907">
        <v>0</v>
      </c>
      <c r="G49" s="907">
        <v>0</v>
      </c>
      <c r="H49" s="907">
        <v>0</v>
      </c>
      <c r="I49" s="907">
        <v>0</v>
      </c>
      <c r="J49" s="907">
        <v>0</v>
      </c>
      <c r="K49" s="907">
        <v>0</v>
      </c>
      <c r="L49" s="908">
        <v>0</v>
      </c>
      <c r="M49" s="909">
        <v>0</v>
      </c>
    </row>
    <row r="50" spans="1:19">
      <c r="B50" s="390" t="s">
        <v>509</v>
      </c>
      <c r="C50" s="160" t="s">
        <v>128</v>
      </c>
      <c r="D50" s="907">
        <v>0</v>
      </c>
      <c r="E50" s="907">
        <v>0</v>
      </c>
      <c r="F50" s="907">
        <v>0</v>
      </c>
      <c r="G50" s="907">
        <v>0</v>
      </c>
      <c r="H50" s="907">
        <v>0</v>
      </c>
      <c r="I50" s="907">
        <v>0</v>
      </c>
      <c r="J50" s="907">
        <v>0</v>
      </c>
      <c r="K50" s="907">
        <v>0</v>
      </c>
      <c r="L50" s="908">
        <v>0</v>
      </c>
      <c r="M50" s="909">
        <v>0</v>
      </c>
    </row>
    <row r="51" spans="1:19">
      <c r="B51" s="390" t="s">
        <v>509</v>
      </c>
      <c r="C51" s="160" t="s">
        <v>128</v>
      </c>
      <c r="D51" s="907">
        <v>0</v>
      </c>
      <c r="E51" s="907">
        <v>0</v>
      </c>
      <c r="F51" s="907">
        <v>0</v>
      </c>
      <c r="G51" s="907">
        <v>0</v>
      </c>
      <c r="H51" s="907">
        <v>0</v>
      </c>
      <c r="I51" s="907">
        <v>0</v>
      </c>
      <c r="J51" s="907">
        <v>0</v>
      </c>
      <c r="K51" s="907">
        <v>0</v>
      </c>
      <c r="L51" s="908">
        <v>0</v>
      </c>
      <c r="M51" s="909">
        <v>0</v>
      </c>
    </row>
    <row r="52" spans="1:19">
      <c r="B52" s="390" t="s">
        <v>509</v>
      </c>
      <c r="C52" s="160" t="s">
        <v>128</v>
      </c>
      <c r="D52" s="907">
        <v>0</v>
      </c>
      <c r="E52" s="907">
        <v>0</v>
      </c>
      <c r="F52" s="907">
        <v>0</v>
      </c>
      <c r="G52" s="907">
        <v>0</v>
      </c>
      <c r="H52" s="907">
        <v>0</v>
      </c>
      <c r="I52" s="907">
        <v>0</v>
      </c>
      <c r="J52" s="907">
        <v>0</v>
      </c>
      <c r="K52" s="907">
        <v>0</v>
      </c>
      <c r="L52" s="908">
        <v>0</v>
      </c>
      <c r="M52" s="909">
        <v>0</v>
      </c>
    </row>
    <row r="53" spans="1:19" s="891" customFormat="1">
      <c r="B53" s="890"/>
      <c r="C53" s="892"/>
      <c r="D53" s="893"/>
      <c r="E53" s="893"/>
      <c r="F53" s="893"/>
      <c r="G53" s="893"/>
      <c r="H53" s="893"/>
      <c r="I53" s="893"/>
      <c r="J53" s="893"/>
      <c r="K53" s="893"/>
      <c r="L53" s="894"/>
      <c r="M53" s="894"/>
      <c r="P53"/>
      <c r="Q53"/>
      <c r="R53"/>
      <c r="S53"/>
    </row>
    <row r="54" spans="1:19">
      <c r="B54" s="885" t="s">
        <v>525</v>
      </c>
      <c r="C54" s="245" t="s">
        <v>128</v>
      </c>
      <c r="D54" s="153">
        <f>SUM(D46:D52)</f>
        <v>0.28404911999999999</v>
      </c>
      <c r="E54" s="153">
        <f t="shared" ref="E54:K54" si="5">SUM(E46:E52)</f>
        <v>0.28404912000000004</v>
      </c>
      <c r="F54" s="153">
        <f t="shared" si="5"/>
        <v>0.39200000000000002</v>
      </c>
      <c r="G54" s="153">
        <f t="shared" si="5"/>
        <v>0.60703012000000012</v>
      </c>
      <c r="H54" s="153">
        <f t="shared" si="5"/>
        <v>0.60828379760868379</v>
      </c>
      <c r="I54" s="153">
        <f t="shared" si="5"/>
        <v>0.60662182001958964</v>
      </c>
      <c r="J54" s="153">
        <f t="shared" si="5"/>
        <v>0.60662182001958964</v>
      </c>
      <c r="K54" s="153">
        <f t="shared" si="5"/>
        <v>0.60662182001958875</v>
      </c>
      <c r="L54" s="716">
        <f>SUM(D54:INDEX(D54:K54,0,MATCH('RFPR cover'!$C$7,$D$6:$K$6,0)))</f>
        <v>1.5671283600000003</v>
      </c>
      <c r="M54" s="717">
        <f t="shared" ref="M54" si="6">SUM(D54:K54)</f>
        <v>3.995277617667452</v>
      </c>
    </row>
    <row r="55" spans="1:19">
      <c r="B55" s="885" t="s">
        <v>525</v>
      </c>
      <c r="C55" s="164" t="str">
        <f>'RFPR cover'!$C$14</f>
        <v>£m 12/13</v>
      </c>
      <c r="D55" s="153">
        <f>D54/D41</f>
        <v>0.26789081742106824</v>
      </c>
      <c r="E55" s="153">
        <f t="shared" ref="E55:K55" si="7">E54/E41</f>
        <v>0.26227100605301296</v>
      </c>
      <c r="F55" s="153">
        <f t="shared" si="7"/>
        <v>0.34888981040930062</v>
      </c>
      <c r="G55" s="153">
        <f t="shared" si="7"/>
        <v>0.52425309066810699</v>
      </c>
      <c r="H55" s="153">
        <f t="shared" si="7"/>
        <v>0.51189847682042133</v>
      </c>
      <c r="I55" s="153">
        <f t="shared" si="7"/>
        <v>0.49671597869358619</v>
      </c>
      <c r="J55" s="153">
        <f t="shared" si="7"/>
        <v>0.48213150079455103</v>
      </c>
      <c r="K55" s="153">
        <f t="shared" si="7"/>
        <v>0.46774824234251783</v>
      </c>
      <c r="L55" s="716">
        <f>SUM(D55:INDEX(D55:K55,0,MATCH('RFPR cover'!$C$7,$D$6:$K$6,0)))</f>
        <v>1.4033047245514889</v>
      </c>
      <c r="M55" s="717">
        <f>SUM(D55:K55)</f>
        <v>3.3617989232025653</v>
      </c>
    </row>
    <row r="56" spans="1:19">
      <c r="B56" s="223"/>
      <c r="C56" s="67"/>
      <c r="D56" s="832"/>
      <c r="E56" s="832"/>
      <c r="F56" s="832"/>
      <c r="G56" s="832"/>
      <c r="H56" s="832"/>
      <c r="I56" s="832"/>
      <c r="J56" s="832"/>
      <c r="K56" s="832"/>
      <c r="L56" s="855"/>
      <c r="M56" s="855"/>
    </row>
    <row r="57" spans="1:19" s="2" customFormat="1">
      <c r="A57" s="1"/>
      <c r="P57"/>
      <c r="Q57"/>
      <c r="R57"/>
      <c r="S57"/>
    </row>
    <row r="58" spans="1:19" s="2" customFormat="1">
      <c r="A58" s="1"/>
      <c r="B58" s="856" t="s">
        <v>443</v>
      </c>
      <c r="C58" s="82"/>
      <c r="D58" s="82"/>
      <c r="E58" s="82"/>
      <c r="F58" s="82"/>
      <c r="G58" s="82"/>
      <c r="H58" s="82"/>
      <c r="I58" s="82"/>
      <c r="J58" s="82"/>
      <c r="K58" s="82"/>
      <c r="L58" s="82"/>
      <c r="M58" s="82"/>
      <c r="N58" s="82"/>
      <c r="P58"/>
      <c r="Q58"/>
      <c r="R58"/>
      <c r="S58"/>
    </row>
    <row r="59" spans="1:19" s="2" customFormat="1">
      <c r="A59" s="1"/>
      <c r="B59" s="389" t="s">
        <v>444</v>
      </c>
      <c r="P59"/>
      <c r="Q59"/>
      <c r="R59"/>
      <c r="S59"/>
    </row>
    <row r="60" spans="1:19" s="2" customFormat="1">
      <c r="A60" s="1"/>
      <c r="P60"/>
      <c r="Q60"/>
      <c r="R60"/>
      <c r="S60"/>
    </row>
    <row r="61" spans="1:19" s="32" customFormat="1">
      <c r="B61" s="223" t="s">
        <v>115</v>
      </c>
      <c r="C61" s="163" t="s">
        <v>7</v>
      </c>
      <c r="D61" s="918">
        <f>'RFPR cover'!$C$12</f>
        <v>0.65</v>
      </c>
      <c r="E61" s="919">
        <f>'RFPR cover'!$C$12</f>
        <v>0.65</v>
      </c>
      <c r="F61" s="919">
        <f>'RFPR cover'!$C$12</f>
        <v>0.65</v>
      </c>
      <c r="G61" s="919">
        <f>'RFPR cover'!$C$12</f>
        <v>0.65</v>
      </c>
      <c r="H61" s="919">
        <f>'RFPR cover'!$C$12</f>
        <v>0.65</v>
      </c>
      <c r="I61" s="919">
        <f>'RFPR cover'!$C$12</f>
        <v>0.65</v>
      </c>
      <c r="J61" s="919">
        <f>'RFPR cover'!$C$12</f>
        <v>0.65</v>
      </c>
      <c r="K61" s="920">
        <f>'RFPR cover'!$C$12</f>
        <v>0.65</v>
      </c>
      <c r="N61" s="850"/>
      <c r="P61"/>
      <c r="Q61"/>
      <c r="R61"/>
      <c r="S61"/>
    </row>
    <row r="62" spans="1:19" s="32" customFormat="1">
      <c r="B62" s="223" t="s">
        <v>406</v>
      </c>
      <c r="C62" s="163" t="s">
        <v>7</v>
      </c>
      <c r="D62" s="919">
        <f>'R8 - Net Debt'!D64</f>
        <v>0.56398050650780918</v>
      </c>
      <c r="E62" s="919">
        <f>'R8 - Net Debt'!E64</f>
        <v>0.59217896914447288</v>
      </c>
      <c r="F62" s="919">
        <f>'R8 - Net Debt'!F64</f>
        <v>0.59262259541510731</v>
      </c>
      <c r="G62" s="919">
        <f>'R8 - Net Debt'!G64</f>
        <v>0.59541776965238646</v>
      </c>
      <c r="H62" s="919">
        <f>'R8 - Net Debt'!H64</f>
        <v>0.60587081066729487</v>
      </c>
      <c r="I62" s="919">
        <f>'R8 - Net Debt'!I64</f>
        <v>0.61979247207180221</v>
      </c>
      <c r="J62" s="919">
        <f>'R8 - Net Debt'!J64</f>
        <v>0.61016183867860907</v>
      </c>
      <c r="K62" s="920">
        <f>'R8 - Net Debt'!K64</f>
        <v>0.59334813758105309</v>
      </c>
      <c r="N62" s="850"/>
      <c r="P62"/>
      <c r="Q62"/>
      <c r="R62"/>
      <c r="S62"/>
    </row>
    <row r="63" spans="1:19" s="32" customFormat="1">
      <c r="B63" s="223"/>
      <c r="C63" s="163"/>
      <c r="D63" s="163"/>
      <c r="E63" s="163"/>
      <c r="F63" s="163"/>
      <c r="G63" s="163"/>
      <c r="H63" s="163"/>
      <c r="I63" s="163"/>
      <c r="J63" s="163"/>
      <c r="K63" s="163"/>
      <c r="N63" s="850"/>
      <c r="P63"/>
      <c r="Q63"/>
      <c r="R63"/>
      <c r="S63"/>
    </row>
    <row r="64" spans="1:19">
      <c r="B64" s="223" t="s">
        <v>433</v>
      </c>
      <c r="C64" s="160" t="s">
        <v>128</v>
      </c>
      <c r="D64" s="97">
        <f t="shared" ref="D64:K64" si="8">D39</f>
        <v>23.870300195998968</v>
      </c>
      <c r="E64" s="98">
        <f t="shared" si="8"/>
        <v>20.189993766260873</v>
      </c>
      <c r="F64" s="98">
        <f t="shared" si="8"/>
        <v>9.0320233691649605</v>
      </c>
      <c r="G64" s="98">
        <f t="shared" si="8"/>
        <v>10.499831268703321</v>
      </c>
      <c r="H64" s="98">
        <f t="shared" si="8"/>
        <v>16.418669187920202</v>
      </c>
      <c r="I64" s="98">
        <f t="shared" si="8"/>
        <v>16.087990686362076</v>
      </c>
      <c r="J64" s="98">
        <f t="shared" si="8"/>
        <v>13.491984985928838</v>
      </c>
      <c r="K64" s="99">
        <f t="shared" si="8"/>
        <v>12.900877960847374</v>
      </c>
      <c r="L64" s="32"/>
      <c r="M64" s="32"/>
    </row>
    <row r="65" spans="2:19" s="32" customFormat="1">
      <c r="B65" s="223" t="s">
        <v>451</v>
      </c>
      <c r="C65" s="160" t="s">
        <v>128</v>
      </c>
      <c r="D65" s="97">
        <f>((D61-D62)/D62)*D64</f>
        <v>3.6407484100480056</v>
      </c>
      <c r="E65" s="97">
        <f t="shared" ref="E65:K65" si="9">((E61-E62)/E62)*E64</f>
        <v>1.9713740496702115</v>
      </c>
      <c r="F65" s="97">
        <f t="shared" si="9"/>
        <v>0.87447570018787835</v>
      </c>
      <c r="G65" s="97">
        <f t="shared" si="9"/>
        <v>0.96252453005228034</v>
      </c>
      <c r="H65" s="97">
        <f t="shared" si="9"/>
        <v>1.1958697273875682</v>
      </c>
      <c r="I65" s="97">
        <f t="shared" si="9"/>
        <v>0.7840986295660729</v>
      </c>
      <c r="J65" s="97">
        <f t="shared" si="9"/>
        <v>0.88090706488501525</v>
      </c>
      <c r="K65" s="97">
        <f t="shared" si="9"/>
        <v>1.2317536991033575</v>
      </c>
      <c r="N65" s="850"/>
      <c r="P65"/>
      <c r="Q65"/>
      <c r="R65"/>
      <c r="S65"/>
    </row>
    <row r="66" spans="2:19">
      <c r="B66" s="223" t="s">
        <v>450</v>
      </c>
      <c r="C66" s="160" t="s">
        <v>128</v>
      </c>
      <c r="D66" s="104">
        <f>SUM(D64:D65)</f>
        <v>27.511048606046973</v>
      </c>
      <c r="E66" s="105">
        <f t="shared" ref="E66:K66" si="10">SUM(E64:E65)</f>
        <v>22.161367815931083</v>
      </c>
      <c r="F66" s="105">
        <f t="shared" si="10"/>
        <v>9.9064990693528383</v>
      </c>
      <c r="G66" s="105">
        <f t="shared" si="10"/>
        <v>11.462355798755601</v>
      </c>
      <c r="H66" s="105">
        <f t="shared" si="10"/>
        <v>17.614538915307769</v>
      </c>
      <c r="I66" s="105">
        <f t="shared" si="10"/>
        <v>16.87208931592815</v>
      </c>
      <c r="J66" s="105">
        <f t="shared" si="10"/>
        <v>14.372892050813853</v>
      </c>
      <c r="K66" s="106">
        <f t="shared" si="10"/>
        <v>14.132631659950732</v>
      </c>
      <c r="L66" s="32"/>
      <c r="M66" s="32"/>
    </row>
    <row r="67" spans="2:19">
      <c r="B67" s="223"/>
      <c r="C67" s="160"/>
      <c r="D67" s="160"/>
      <c r="E67" s="160"/>
      <c r="F67" s="160"/>
      <c r="G67" s="160"/>
      <c r="H67" s="160"/>
      <c r="I67" s="160"/>
      <c r="J67" s="160"/>
      <c r="K67" s="160"/>
      <c r="L67" s="160"/>
      <c r="M67" s="160"/>
      <c r="N67" s="160"/>
      <c r="O67" s="160"/>
    </row>
    <row r="68" spans="2:19">
      <c r="B68" s="860" t="s">
        <v>450</v>
      </c>
      <c r="C68" s="164" t="str">
        <f>'RFPR cover'!$C$14</f>
        <v>£m 12/13</v>
      </c>
      <c r="D68" s="153">
        <f t="shared" ref="D68:K68" si="11">D66/D41</f>
        <v>25.946066297211779</v>
      </c>
      <c r="E68" s="154">
        <f t="shared" si="11"/>
        <v>20.462250446666076</v>
      </c>
      <c r="F68" s="154">
        <f t="shared" si="11"/>
        <v>8.8170320972612863</v>
      </c>
      <c r="G68" s="154">
        <f t="shared" si="11"/>
        <v>9.89930360265339</v>
      </c>
      <c r="H68" s="154">
        <f t="shared" si="11"/>
        <v>14.823435501796371</v>
      </c>
      <c r="I68" s="154">
        <f t="shared" si="11"/>
        <v>13.815257019432988</v>
      </c>
      <c r="J68" s="154">
        <f t="shared" si="11"/>
        <v>11.423301613175036</v>
      </c>
      <c r="K68" s="155">
        <f t="shared" si="11"/>
        <v>10.8972565780814</v>
      </c>
      <c r="L68" s="716">
        <f>SUM(D68:INDEX(D68:K68,0,MATCH('RFPR cover'!$C$7,$D$6:$K$6,0)))</f>
        <v>65.124652443792527</v>
      </c>
      <c r="M68" s="717">
        <f>SUM(D68:K68)</f>
        <v>116.08390315627832</v>
      </c>
    </row>
    <row r="69" spans="2:19">
      <c r="B69" s="392" t="s">
        <v>526</v>
      </c>
      <c r="C69" s="167" t="str">
        <f>'RFPR cover'!$C$14</f>
        <v>£m 12/13</v>
      </c>
      <c r="D69" s="97">
        <f>D55*((D61-D62)/D62)+D55</f>
        <v>0.30875008854811065</v>
      </c>
      <c r="E69" s="97">
        <f t="shared" ref="E69:K69" si="12">E55*((E61-E62)/E62)+E55</f>
        <v>0.28787944661517972</v>
      </c>
      <c r="F69" s="97">
        <f t="shared" si="12"/>
        <v>0.38266913634502353</v>
      </c>
      <c r="G69" s="97">
        <f t="shared" si="12"/>
        <v>0.57231162102067057</v>
      </c>
      <c r="H69" s="97">
        <f t="shared" si="12"/>
        <v>0.5491830998869327</v>
      </c>
      <c r="I69" s="97">
        <f t="shared" si="12"/>
        <v>0.5209249881199387</v>
      </c>
      <c r="J69" s="97">
        <f t="shared" si="12"/>
        <v>0.51361041554997655</v>
      </c>
      <c r="K69" s="97">
        <f t="shared" si="12"/>
        <v>0.51240804220288694</v>
      </c>
      <c r="L69" s="712">
        <f>SUM(D69:INDEX(D69:K69,0,MATCH('RFPR cover'!$C$7,$D$6:$K$6,0)))</f>
        <v>1.5516102925289845</v>
      </c>
      <c r="M69" s="713">
        <f>SUM(D69:K69)</f>
        <v>3.6477368382887194</v>
      </c>
      <c r="N69" s="163"/>
    </row>
    <row r="71" spans="2:19">
      <c r="B71" s="852" t="s">
        <v>318</v>
      </c>
      <c r="C71" s="853"/>
      <c r="D71" s="853"/>
      <c r="E71" s="853"/>
      <c r="F71" s="853"/>
      <c r="G71" s="853"/>
      <c r="H71" s="853"/>
      <c r="I71" s="853"/>
      <c r="J71" s="853"/>
      <c r="K71" s="853"/>
      <c r="L71" s="853"/>
      <c r="M71" s="853"/>
      <c r="N71" s="853"/>
      <c r="O71" s="163"/>
    </row>
    <row r="72" spans="2:19" s="32" customFormat="1">
      <c r="B72" s="854"/>
      <c r="C72" s="67"/>
      <c r="D72" s="67"/>
      <c r="E72" s="67"/>
      <c r="F72" s="67"/>
      <c r="G72" s="67"/>
      <c r="H72" s="67"/>
      <c r="I72" s="67"/>
      <c r="J72" s="67"/>
      <c r="K72" s="67"/>
      <c r="L72" s="67"/>
      <c r="M72" s="67"/>
      <c r="N72" s="67"/>
      <c r="O72" s="67"/>
      <c r="P72"/>
      <c r="Q72"/>
      <c r="R72"/>
      <c r="S72"/>
    </row>
    <row r="73" spans="2:19">
      <c r="B73" s="389" t="s">
        <v>480</v>
      </c>
      <c r="C73" s="388"/>
      <c r="D73" s="388"/>
      <c r="E73" s="388"/>
      <c r="F73" s="388"/>
      <c r="G73" s="388"/>
      <c r="H73" s="388"/>
      <c r="I73" s="388"/>
      <c r="J73" s="388"/>
      <c r="K73" s="388"/>
      <c r="L73" s="388"/>
      <c r="M73" s="388"/>
      <c r="N73" s="388"/>
      <c r="O73" s="163"/>
    </row>
    <row r="74" spans="2:19">
      <c r="B74" s="389" t="s">
        <v>347</v>
      </c>
      <c r="C74" s="388"/>
      <c r="D74" s="388"/>
      <c r="E74" s="388"/>
      <c r="F74" s="388"/>
      <c r="G74" s="388"/>
      <c r="H74" s="388"/>
      <c r="I74" s="388"/>
      <c r="J74" s="388"/>
      <c r="K74" s="388"/>
      <c r="L74" s="388"/>
      <c r="M74" s="388"/>
      <c r="N74" s="388"/>
      <c r="O74" s="163"/>
    </row>
    <row r="75" spans="2:19">
      <c r="B75" s="389" t="s">
        <v>348</v>
      </c>
      <c r="C75" s="388"/>
      <c r="D75" s="388"/>
      <c r="E75" s="388"/>
      <c r="F75" s="388"/>
      <c r="G75" s="388"/>
      <c r="H75" s="388"/>
      <c r="I75" s="388"/>
      <c r="J75" s="388"/>
      <c r="K75" s="388"/>
      <c r="L75" s="388"/>
      <c r="M75" s="388"/>
      <c r="N75" s="388"/>
      <c r="O75" s="163"/>
    </row>
    <row r="76" spans="2:19">
      <c r="B76" s="389" t="s">
        <v>532</v>
      </c>
      <c r="C76" s="388"/>
      <c r="D76" s="388"/>
      <c r="E76" s="388"/>
      <c r="F76" s="388"/>
      <c r="G76" s="388"/>
      <c r="H76" s="388"/>
      <c r="I76" s="388"/>
      <c r="J76" s="388"/>
      <c r="K76" s="388"/>
      <c r="L76" s="388"/>
      <c r="M76" s="388"/>
      <c r="N76" s="388"/>
      <c r="O76" s="163"/>
    </row>
    <row r="77" spans="2:19" s="32" customFormat="1">
      <c r="B77" s="393"/>
      <c r="C77" s="393"/>
      <c r="D77" s="393"/>
      <c r="E77" s="393"/>
      <c r="F77" s="393"/>
      <c r="G77" s="393"/>
      <c r="H77" s="393"/>
      <c r="I77" s="393"/>
      <c r="J77" s="393"/>
      <c r="K77" s="393"/>
      <c r="L77" s="393"/>
      <c r="M77" s="393"/>
      <c r="N77" s="393"/>
      <c r="O77" s="67"/>
      <c r="P77"/>
      <c r="Q77"/>
      <c r="R77"/>
      <c r="S77"/>
    </row>
    <row r="78" spans="2:19">
      <c r="B78" s="392" t="s">
        <v>233</v>
      </c>
      <c r="C78" s="163" t="str">
        <f>'RFPR cover'!$C$14</f>
        <v>£m 12/13</v>
      </c>
      <c r="D78" s="624">
        <v>20.094824973280261</v>
      </c>
      <c r="E78" s="624">
        <v>19.686832831973117</v>
      </c>
      <c r="F78" s="624">
        <v>19.174308170784293</v>
      </c>
      <c r="G78" s="624">
        <v>17.137092143205589</v>
      </c>
      <c r="H78" s="624">
        <v>14.696618223853577</v>
      </c>
      <c r="I78" s="624"/>
      <c r="J78" s="928"/>
      <c r="K78" s="931"/>
      <c r="L78" s="929"/>
      <c r="M78" s="929"/>
      <c r="O78" s="67"/>
    </row>
    <row r="79" spans="2:19">
      <c r="B79" s="392" t="s">
        <v>317</v>
      </c>
      <c r="C79" s="163" t="str">
        <f>'RFPR cover'!$C$14</f>
        <v>£m 12/13</v>
      </c>
      <c r="D79" s="714">
        <f>'R9 - RAV'!D49</f>
        <v>20.094824973280261</v>
      </c>
      <c r="E79" s="715">
        <f>'R9 - RAV'!E49</f>
        <v>19.686832831973121</v>
      </c>
      <c r="F79" s="715">
        <f>'R9 - RAV'!F49</f>
        <v>19.140207042238998</v>
      </c>
      <c r="G79" s="715">
        <f>'R9 - RAV'!G49</f>
        <v>17.056089682180865</v>
      </c>
      <c r="H79" s="715">
        <f>'R9 - RAV'!H49</f>
        <v>14.62354290503761</v>
      </c>
      <c r="I79" s="715">
        <f>'R9 - RAV'!I49</f>
        <v>10.932862833480762</v>
      </c>
      <c r="J79" s="715">
        <f>'R9 - RAV'!J49</f>
        <v>9.1535995588376142</v>
      </c>
      <c r="K79" s="930">
        <f>'R9 - RAV'!K49</f>
        <v>7.4549113839517815</v>
      </c>
      <c r="L79" s="932">
        <f>SUM(D79:INDEX(D79:K79,0,MATCH('RFPR cover'!$C$7,$D$6:$K$6,0)))</f>
        <v>75.977954529673241</v>
      </c>
      <c r="M79" s="932">
        <f>SUM(D79:K79)</f>
        <v>118.14287121098101</v>
      </c>
      <c r="O79" s="67"/>
    </row>
    <row r="80" spans="2:19" s="32" customFormat="1">
      <c r="B80" s="857"/>
      <c r="C80" s="67"/>
      <c r="D80" s="858"/>
      <c r="E80" s="858"/>
      <c r="F80" s="858"/>
      <c r="G80" s="858"/>
      <c r="H80" s="858"/>
      <c r="I80" s="858"/>
      <c r="J80" s="858"/>
      <c r="K80" s="858"/>
      <c r="L80" s="855"/>
      <c r="M80" s="855"/>
      <c r="O80" s="67"/>
      <c r="P80"/>
      <c r="Q80"/>
      <c r="R80"/>
      <c r="S80"/>
    </row>
    <row r="81" spans="2:19" s="32" customFormat="1">
      <c r="B81" s="857"/>
      <c r="C81" s="67"/>
      <c r="D81" s="858"/>
      <c r="E81" s="859"/>
      <c r="F81" s="859"/>
      <c r="G81" s="859"/>
      <c r="H81" s="859"/>
      <c r="I81" s="859"/>
      <c r="J81" s="859"/>
      <c r="K81" s="859"/>
      <c r="L81" s="855"/>
      <c r="M81" s="855"/>
      <c r="O81" s="67"/>
      <c r="P81"/>
      <c r="Q81"/>
      <c r="R81"/>
      <c r="S81"/>
    </row>
    <row r="82" spans="2:19">
      <c r="B82" s="861" t="s">
        <v>434</v>
      </c>
      <c r="C82" s="853"/>
      <c r="D82" s="853"/>
      <c r="E82" s="853"/>
      <c r="F82" s="853"/>
      <c r="G82" s="853"/>
      <c r="H82" s="853"/>
      <c r="I82" s="853"/>
      <c r="J82" s="853"/>
      <c r="K82" s="853"/>
      <c r="L82" s="853"/>
      <c r="M82" s="853"/>
      <c r="N82" s="853"/>
    </row>
    <row r="83" spans="2:19">
      <c r="B83" s="392"/>
      <c r="C83" s="163"/>
      <c r="D83" s="163"/>
      <c r="E83" s="163"/>
      <c r="F83" s="163"/>
      <c r="G83" s="163"/>
      <c r="H83" s="163"/>
      <c r="I83" s="163"/>
      <c r="J83" s="163"/>
      <c r="K83" s="163"/>
      <c r="L83" s="163"/>
      <c r="M83" s="163"/>
      <c r="N83" s="163"/>
    </row>
    <row r="84" spans="2:19">
      <c r="B84" s="880" t="s">
        <v>488</v>
      </c>
      <c r="C84" s="163"/>
      <c r="D84" s="163"/>
      <c r="E84" s="163"/>
      <c r="F84" s="163"/>
      <c r="G84" s="163"/>
      <c r="H84" s="163"/>
      <c r="I84" s="163"/>
      <c r="J84" s="163"/>
      <c r="K84" s="163"/>
      <c r="L84" s="163"/>
      <c r="M84" s="163"/>
      <c r="N84" s="163"/>
    </row>
    <row r="85" spans="2:19">
      <c r="B85" s="223" t="s">
        <v>489</v>
      </c>
      <c r="C85" s="163" t="str">
        <f>'RFPR cover'!$C$14</f>
        <v>£m 12/13</v>
      </c>
      <c r="D85" s="153">
        <f>D79-D43-D55</f>
        <v>-2.6854898628895709</v>
      </c>
      <c r="E85" s="153">
        <f t="shared" ref="E85:K85" si="13">E79-E43-E55</f>
        <v>0.78253970917742022</v>
      </c>
      <c r="F85" s="153">
        <f t="shared" si="13"/>
        <v>10.75259039284925</v>
      </c>
      <c r="G85" s="153">
        <f t="shared" si="13"/>
        <v>7.4638038650455014</v>
      </c>
      <c r="H85" s="153">
        <f t="shared" si="13"/>
        <v>0.29458768306683902</v>
      </c>
      <c r="I85" s="153">
        <f t="shared" si="13"/>
        <v>-2.7370720688769601</v>
      </c>
      <c r="J85" s="153">
        <f t="shared" si="13"/>
        <v>-2.0517053513034003</v>
      </c>
      <c r="K85" s="153">
        <f t="shared" si="13"/>
        <v>-2.9603243896945486</v>
      </c>
      <c r="L85" s="716">
        <f>SUM(D85:INDEX(D85:K85,0,MATCH('RFPR cover'!$C$7,$D$6:$K$6,0)))</f>
        <v>16.313444104182601</v>
      </c>
      <c r="M85" s="717">
        <f>SUM(D85:K85)</f>
        <v>8.8589299773745314</v>
      </c>
    </row>
    <row r="86" spans="2:19">
      <c r="B86" s="223"/>
    </row>
    <row r="87" spans="2:19">
      <c r="B87" s="223" t="s">
        <v>490</v>
      </c>
      <c r="C87" s="163" t="str">
        <f>'RFPR cover'!$C$14</f>
        <v>£m 12/13</v>
      </c>
      <c r="D87" s="153">
        <f>D79-D68-D69</f>
        <v>-6.1599914124796289</v>
      </c>
      <c r="E87" s="153">
        <f t="shared" ref="E87:K87" si="14">E79-E68-E69</f>
        <v>-1.0632970613081349</v>
      </c>
      <c r="F87" s="153">
        <f t="shared" si="14"/>
        <v>9.9405058086326878</v>
      </c>
      <c r="G87" s="153">
        <f t="shared" si="14"/>
        <v>6.5844744585068042</v>
      </c>
      <c r="H87" s="153">
        <f t="shared" si="14"/>
        <v>-0.7490756966456944</v>
      </c>
      <c r="I87" s="153">
        <f t="shared" si="14"/>
        <v>-3.4033191740721644</v>
      </c>
      <c r="J87" s="153">
        <f t="shared" si="14"/>
        <v>-2.7833124698873988</v>
      </c>
      <c r="K87" s="153">
        <f t="shared" si="14"/>
        <v>-3.9547532363325058</v>
      </c>
      <c r="L87" s="716">
        <f>SUM(D87:INDEX(D87:K87,0,MATCH('RFPR cover'!$C$7,$D$6:$K$6,0)))</f>
        <v>9.3016917933517291</v>
      </c>
      <c r="M87" s="717">
        <f>SUM(D87:K87)</f>
        <v>-1.5887687835860334</v>
      </c>
    </row>
    <row r="88" spans="2:19">
      <c r="B88" s="223"/>
    </row>
    <row r="89" spans="2:19">
      <c r="B89" s="223" t="s">
        <v>491</v>
      </c>
      <c r="C89" s="163" t="str">
        <f>'RFPR cover'!$C$14</f>
        <v>£m 12/13</v>
      </c>
      <c r="D89" s="153">
        <f t="shared" ref="D89:K89" si="15">D85-D87</f>
        <v>3.474501549590058</v>
      </c>
      <c r="E89" s="153">
        <f t="shared" si="15"/>
        <v>1.8458367704855552</v>
      </c>
      <c r="F89" s="153">
        <f t="shared" si="15"/>
        <v>0.81208458421656182</v>
      </c>
      <c r="G89" s="153">
        <f t="shared" si="15"/>
        <v>0.87932940653869718</v>
      </c>
      <c r="H89" s="153">
        <f t="shared" si="15"/>
        <v>1.0436633797125334</v>
      </c>
      <c r="I89" s="153">
        <f t="shared" si="15"/>
        <v>0.66624710519520436</v>
      </c>
      <c r="J89" s="153">
        <f t="shared" si="15"/>
        <v>0.73160711858399852</v>
      </c>
      <c r="K89" s="153">
        <f t="shared" si="15"/>
        <v>0.99442884663795716</v>
      </c>
      <c r="L89" s="716">
        <f>SUM(D89:INDEX(D89:K89,0,MATCH('RFPR cover'!$C$7,$D$6:$K$6,0)))</f>
        <v>7.0117523108308726</v>
      </c>
      <c r="M89" s="717">
        <f>SUM(D89:K89)</f>
        <v>10.447698760960565</v>
      </c>
    </row>
    <row r="90" spans="2:19">
      <c r="B90" s="210"/>
    </row>
  </sheetData>
  <conditionalFormatting sqref="D6:K6">
    <cfRule type="expression" dxfId="38" priority="15">
      <formula>AND(D$5="Actuals",E$5="Forecast")</formula>
    </cfRule>
  </conditionalFormatting>
  <conditionalFormatting sqref="D5:K5">
    <cfRule type="expression" dxfId="37" priority="8">
      <formula>AND(D$5="Actuals",E$5="Forecast")</formula>
    </cfRule>
  </conditionalFormatting>
  <conditionalFormatting sqref="D29:K29">
    <cfRule type="expression" dxfId="36" priority="6">
      <formula>D$5="Forecast"</formula>
    </cfRule>
    <cfRule type="expression" dxfId="35" priority="7">
      <formula>D$5="Actuals"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4F9EFF1D-0920-4D6C-8AB9-85AB6A059E37}">
            <xm:f>I6&gt;=('RFPR cover'!$C$7+2)</xm:f>
            <x14:dxf>
              <fill>
                <patternFill patternType="darkUp">
                  <fgColor rgb="FFC0C0C0"/>
                </patternFill>
              </fill>
            </x14:dxf>
          </x14:cfRule>
          <xm:sqref>I78:K78</xm:sqref>
        </x14:conditionalFormatting>
        <x14:conditionalFormatting xmlns:xm="http://schemas.microsoft.com/office/excel/2006/main">
          <x14:cfRule type="expression" priority="1" id="{4D8F8A30-632C-47F2-AAC6-6E12748319E7}">
            <xm:f>D6&gt;=('[201819 RFPR - WPD EMID submission - July 19.xlsx]RFPR cover'!#REF!+2)</xm:f>
            <x14:dxf>
              <fill>
                <patternFill patternType="darkUp">
                  <fgColor rgb="FFC0C0C0"/>
                </patternFill>
              </fill>
            </x14:dxf>
          </x14:cfRule>
          <xm:sqref>D78:H78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6"/>
  <sheetViews>
    <sheetView showGridLines="0" zoomScale="80" zoomScaleNormal="80" workbookViewId="0">
      <pane ySplit="6" topLeftCell="A7" activePane="bottomLeft" state="frozen"/>
      <selection activeCell="G29" sqref="G29"/>
      <selection pane="bottomLeft" activeCell="A3" sqref="A3"/>
    </sheetView>
  </sheetViews>
  <sheetFormatPr defaultRowHeight="12.75"/>
  <cols>
    <col min="1" max="1" width="8.375" customWidth="1"/>
    <col min="2" max="2" width="85.75" bestFit="1" customWidth="1"/>
    <col min="3" max="3" width="14.125" customWidth="1"/>
    <col min="4" max="11" width="11.125" customWidth="1"/>
    <col min="12" max="12" width="5" customWidth="1"/>
    <col min="13" max="13" width="12.875" customWidth="1"/>
  </cols>
  <sheetData>
    <row r="1" spans="1:12" s="32" customFormat="1" ht="20.25">
      <c r="A1" s="382" t="s">
        <v>237</v>
      </c>
      <c r="B1" s="269"/>
      <c r="C1" s="269"/>
      <c r="D1" s="269"/>
      <c r="E1" s="269"/>
      <c r="F1" s="269"/>
      <c r="G1" s="269"/>
      <c r="H1" s="269"/>
      <c r="I1" s="270"/>
      <c r="J1" s="270"/>
      <c r="K1" s="271"/>
      <c r="L1" s="383"/>
    </row>
    <row r="2" spans="1:12" s="32" customFormat="1" ht="20.25">
      <c r="A2" s="126" t="str">
        <f>'RFPR cover'!C5</f>
        <v>WPD-SWEST</v>
      </c>
      <c r="B2" s="30"/>
      <c r="C2" s="30"/>
      <c r="D2" s="30"/>
      <c r="E2" s="30"/>
      <c r="F2" s="30"/>
      <c r="G2" s="30"/>
      <c r="H2" s="30"/>
      <c r="I2" s="27"/>
      <c r="J2" s="27"/>
      <c r="K2" s="27"/>
      <c r="L2" s="127"/>
    </row>
    <row r="3" spans="1:12" s="32" customFormat="1" ht="23.25">
      <c r="A3" s="273">
        <f>'RFPR cover'!C7</f>
        <v>2019</v>
      </c>
      <c r="B3" s="933" t="str">
        <f>'R1 - RoRE'!B3</f>
        <v/>
      </c>
      <c r="C3" s="274"/>
      <c r="D3" s="274"/>
      <c r="E3" s="274"/>
      <c r="F3" s="274"/>
      <c r="G3" s="274"/>
      <c r="H3" s="274"/>
      <c r="I3" s="267"/>
      <c r="J3" s="267"/>
      <c r="K3" s="267"/>
      <c r="L3" s="275"/>
    </row>
    <row r="4" spans="1:12" s="32" customFormat="1" ht="12.75" customHeight="1">
      <c r="A4" s="40"/>
      <c r="B4" s="40"/>
      <c r="C4" s="40"/>
      <c r="D4" s="40"/>
      <c r="E4" s="40"/>
      <c r="F4" s="40"/>
      <c r="G4" s="40"/>
      <c r="H4" s="40"/>
      <c r="I4" s="35"/>
      <c r="J4" s="35"/>
      <c r="K4" s="35"/>
      <c r="L4" s="34"/>
    </row>
    <row r="5" spans="1:12" s="2" customFormat="1">
      <c r="B5" s="3"/>
      <c r="C5" s="3"/>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2"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row r="8" spans="1:12" s="2" customFormat="1">
      <c r="B8" s="223" t="s">
        <v>522</v>
      </c>
      <c r="C8" s="160" t="s">
        <v>128</v>
      </c>
      <c r="D8" s="911">
        <v>-97.600000000000009</v>
      </c>
      <c r="E8" s="724">
        <f>D10</f>
        <v>26.400000000000006</v>
      </c>
      <c r="F8" s="724">
        <f t="shared" ref="F8:K8" si="1">E10</f>
        <v>83.76226441</v>
      </c>
      <c r="G8" s="724">
        <f t="shared" si="1"/>
        <v>-68.352625219999993</v>
      </c>
      <c r="H8" s="724">
        <f t="shared" si="1"/>
        <v>-42.773303950000006</v>
      </c>
      <c r="I8" s="724">
        <f t="shared" si="1"/>
        <v>74.459474408258529</v>
      </c>
      <c r="J8" s="724">
        <f t="shared" si="1"/>
        <v>53.786042413719969</v>
      </c>
      <c r="K8" s="724">
        <f t="shared" si="1"/>
        <v>-31.51170582095174</v>
      </c>
    </row>
    <row r="9" spans="1:12" s="2" customFormat="1">
      <c r="B9" s="223"/>
    </row>
    <row r="10" spans="1:12">
      <c r="B10" s="223" t="s">
        <v>523</v>
      </c>
      <c r="C10" s="160" t="s">
        <v>128</v>
      </c>
      <c r="D10" s="718">
        <v>26.400000000000006</v>
      </c>
      <c r="E10" s="719">
        <v>83.76226441</v>
      </c>
      <c r="F10" s="719">
        <v>-68.352625219999993</v>
      </c>
      <c r="G10" s="719">
        <v>-42.773303950000006</v>
      </c>
      <c r="H10" s="719">
        <v>74.459474408258529</v>
      </c>
      <c r="I10" s="719">
        <v>53.786042413719969</v>
      </c>
      <c r="J10" s="719">
        <v>-31.51170582095174</v>
      </c>
      <c r="K10" s="720">
        <v>-0.72310023858765327</v>
      </c>
    </row>
    <row r="11" spans="1:12">
      <c r="B11" s="223" t="s">
        <v>371</v>
      </c>
      <c r="C11" s="160" t="s">
        <v>128</v>
      </c>
      <c r="D11" s="721">
        <v>736.14550000000008</v>
      </c>
      <c r="E11" s="722">
        <v>743.96578993999992</v>
      </c>
      <c r="F11" s="722">
        <v>1002.45224367</v>
      </c>
      <c r="G11" s="722">
        <v>1010.93329001</v>
      </c>
      <c r="H11" s="722">
        <v>1019.8947241201085</v>
      </c>
      <c r="I11" s="722">
        <v>1029.5636190488003</v>
      </c>
      <c r="J11" s="722">
        <v>1040.3230687398102</v>
      </c>
      <c r="K11" s="723">
        <v>1051.5625332245638</v>
      </c>
    </row>
    <row r="12" spans="1:12">
      <c r="B12" s="223" t="s">
        <v>372</v>
      </c>
      <c r="C12" s="160" t="s">
        <v>128</v>
      </c>
      <c r="D12" s="721">
        <v>38.825000000000003</v>
      </c>
      <c r="E12" s="722">
        <v>8.8840000000000003</v>
      </c>
      <c r="F12" s="722">
        <v>0</v>
      </c>
      <c r="G12" s="722">
        <v>0</v>
      </c>
      <c r="H12" s="722">
        <v>0</v>
      </c>
      <c r="I12" s="722">
        <v>0</v>
      </c>
      <c r="J12" s="722">
        <v>0</v>
      </c>
      <c r="K12" s="723">
        <v>0</v>
      </c>
    </row>
    <row r="13" spans="1:12">
      <c r="B13" s="223" t="s">
        <v>373</v>
      </c>
      <c r="C13" s="160" t="s">
        <v>128</v>
      </c>
      <c r="D13" s="721">
        <v>-1.0044278900000001</v>
      </c>
      <c r="E13" s="722">
        <v>-1.1981082599999999</v>
      </c>
      <c r="F13" s="722">
        <v>-1.1077999999999999</v>
      </c>
      <c r="G13" s="722">
        <v>-0.88293804000000009</v>
      </c>
      <c r="H13" s="722">
        <v>-0.88293804000000009</v>
      </c>
      <c r="I13" s="722">
        <v>-0.88293804000000009</v>
      </c>
      <c r="J13" s="722">
        <v>-0.88293804000000009</v>
      </c>
      <c r="K13" s="723">
        <v>-0.88293804000000009</v>
      </c>
    </row>
    <row r="14" spans="1:12">
      <c r="B14" s="223" t="s">
        <v>374</v>
      </c>
      <c r="C14" s="160" t="s">
        <v>128</v>
      </c>
      <c r="D14" s="721">
        <v>43.246400000000008</v>
      </c>
      <c r="E14" s="722">
        <v>64.864019339999999</v>
      </c>
      <c r="F14" s="722">
        <v>64.984835840000002</v>
      </c>
      <c r="G14" s="722">
        <v>66.922432849999993</v>
      </c>
      <c r="H14" s="722">
        <v>66.922432849999993</v>
      </c>
      <c r="I14" s="722">
        <v>66.922432849999993</v>
      </c>
      <c r="J14" s="722">
        <v>66.922432849999993</v>
      </c>
      <c r="K14" s="723">
        <v>66.922432849999993</v>
      </c>
    </row>
    <row r="15" spans="1:12">
      <c r="B15" s="223" t="s">
        <v>292</v>
      </c>
      <c r="C15" s="160" t="s">
        <v>128</v>
      </c>
      <c r="D15" s="721">
        <v>0</v>
      </c>
      <c r="E15" s="722">
        <v>0</v>
      </c>
      <c r="F15" s="722">
        <v>0</v>
      </c>
      <c r="G15" s="722">
        <v>0</v>
      </c>
      <c r="H15" s="722">
        <v>0</v>
      </c>
      <c r="I15" s="722">
        <v>0</v>
      </c>
      <c r="J15" s="722">
        <v>0</v>
      </c>
      <c r="K15" s="723">
        <v>0</v>
      </c>
    </row>
    <row r="16" spans="1:12">
      <c r="B16" s="223" t="s">
        <v>293</v>
      </c>
      <c r="C16" s="160" t="s">
        <v>128</v>
      </c>
      <c r="D16" s="721">
        <v>0</v>
      </c>
      <c r="E16" s="722">
        <v>0</v>
      </c>
      <c r="F16" s="722">
        <v>0</v>
      </c>
      <c r="G16" s="722">
        <v>0</v>
      </c>
      <c r="H16" s="722">
        <v>0</v>
      </c>
      <c r="I16" s="722">
        <v>0</v>
      </c>
      <c r="J16" s="722">
        <v>0</v>
      </c>
      <c r="K16" s="723">
        <v>0</v>
      </c>
    </row>
    <row r="17" spans="2:13">
      <c r="B17" s="223" t="s">
        <v>297</v>
      </c>
      <c r="C17" s="160" t="s">
        <v>128</v>
      </c>
      <c r="D17" s="721">
        <v>0</v>
      </c>
      <c r="E17" s="722">
        <v>0</v>
      </c>
      <c r="F17" s="722">
        <v>0</v>
      </c>
      <c r="G17" s="722">
        <v>0</v>
      </c>
      <c r="H17" s="722">
        <v>0</v>
      </c>
      <c r="I17" s="722">
        <v>0</v>
      </c>
      <c r="J17" s="722">
        <v>0</v>
      </c>
      <c r="K17" s="723">
        <v>0</v>
      </c>
    </row>
    <row r="18" spans="2:13">
      <c r="B18" s="223" t="s">
        <v>298</v>
      </c>
      <c r="C18" s="160" t="s">
        <v>128</v>
      </c>
      <c r="D18" s="721">
        <v>0</v>
      </c>
      <c r="E18" s="722">
        <v>0</v>
      </c>
      <c r="F18" s="722">
        <v>0</v>
      </c>
      <c r="G18" s="722">
        <v>0</v>
      </c>
      <c r="H18" s="722">
        <v>0</v>
      </c>
      <c r="I18" s="722">
        <v>0</v>
      </c>
      <c r="J18" s="722">
        <v>0</v>
      </c>
      <c r="K18" s="723">
        <v>0</v>
      </c>
    </row>
    <row r="19" spans="2:13">
      <c r="B19" s="223" t="s">
        <v>299</v>
      </c>
      <c r="C19" s="160" t="s">
        <v>128</v>
      </c>
      <c r="D19" s="721">
        <v>0</v>
      </c>
      <c r="E19" s="722">
        <v>0</v>
      </c>
      <c r="F19" s="722">
        <v>0</v>
      </c>
      <c r="G19" s="722">
        <v>0</v>
      </c>
      <c r="H19" s="722">
        <v>0</v>
      </c>
      <c r="I19" s="722">
        <v>0</v>
      </c>
      <c r="J19" s="722">
        <v>0</v>
      </c>
      <c r="K19" s="723">
        <v>0</v>
      </c>
    </row>
    <row r="20" spans="2:13">
      <c r="B20" s="223" t="s">
        <v>300</v>
      </c>
      <c r="C20" s="160" t="s">
        <v>128</v>
      </c>
      <c r="D20" s="721">
        <v>0</v>
      </c>
      <c r="E20" s="722">
        <v>0</v>
      </c>
      <c r="F20" s="722">
        <v>0</v>
      </c>
      <c r="G20" s="722">
        <v>0</v>
      </c>
      <c r="H20" s="722">
        <v>0</v>
      </c>
      <c r="I20" s="722">
        <v>0</v>
      </c>
      <c r="J20" s="722">
        <v>0</v>
      </c>
      <c r="K20" s="723">
        <v>0</v>
      </c>
    </row>
    <row r="21" spans="2:13">
      <c r="B21" s="223" t="s">
        <v>301</v>
      </c>
      <c r="C21" s="160" t="s">
        <v>128</v>
      </c>
      <c r="D21" s="721">
        <v>0</v>
      </c>
      <c r="E21" s="722">
        <v>0</v>
      </c>
      <c r="F21" s="722">
        <v>0</v>
      </c>
      <c r="G21" s="722">
        <v>0</v>
      </c>
      <c r="H21" s="722">
        <v>0</v>
      </c>
      <c r="I21" s="722">
        <v>0</v>
      </c>
      <c r="J21" s="722">
        <v>0</v>
      </c>
      <c r="K21" s="723">
        <v>0</v>
      </c>
    </row>
    <row r="22" spans="2:13">
      <c r="B22" s="223" t="s">
        <v>302</v>
      </c>
      <c r="C22" s="160" t="s">
        <v>128</v>
      </c>
      <c r="D22" s="721">
        <v>0</v>
      </c>
      <c r="E22" s="722">
        <v>0</v>
      </c>
      <c r="F22" s="722">
        <v>0</v>
      </c>
      <c r="G22" s="722">
        <v>0</v>
      </c>
      <c r="H22" s="722">
        <v>0</v>
      </c>
      <c r="I22" s="722">
        <v>0</v>
      </c>
      <c r="J22" s="722">
        <v>0</v>
      </c>
      <c r="K22" s="723">
        <v>0</v>
      </c>
    </row>
    <row r="23" spans="2:13">
      <c r="B23" s="14" t="s">
        <v>319</v>
      </c>
      <c r="C23" s="245" t="s">
        <v>128</v>
      </c>
      <c r="D23" s="724">
        <f>SUM(D10:D22)</f>
        <v>843.61247211000011</v>
      </c>
      <c r="E23" s="724">
        <f t="shared" ref="E23:K23" si="2">SUM(E10:E22)</f>
        <v>900.27796542999988</v>
      </c>
      <c r="F23" s="724">
        <f t="shared" si="2"/>
        <v>997.97665428999994</v>
      </c>
      <c r="G23" s="724">
        <f t="shared" si="2"/>
        <v>1034.1994808699999</v>
      </c>
      <c r="H23" s="724">
        <f t="shared" si="2"/>
        <v>1160.393693338367</v>
      </c>
      <c r="I23" s="724">
        <f t="shared" si="2"/>
        <v>1149.3891562725203</v>
      </c>
      <c r="J23" s="724">
        <f t="shared" si="2"/>
        <v>1074.8508577288585</v>
      </c>
      <c r="K23" s="725">
        <f t="shared" si="2"/>
        <v>1116.8789277959761</v>
      </c>
      <c r="L23" s="2"/>
      <c r="M23" s="342"/>
    </row>
    <row r="24" spans="2:13">
      <c r="B24" s="14"/>
      <c r="C24" s="160"/>
      <c r="D24" s="249"/>
      <c r="E24" s="249"/>
      <c r="F24" s="249"/>
      <c r="G24" s="249"/>
      <c r="H24" s="249"/>
      <c r="I24" s="249"/>
      <c r="J24" s="249"/>
      <c r="K24" s="249"/>
      <c r="L24" s="2"/>
      <c r="M24" s="2"/>
    </row>
    <row r="25" spans="2:13">
      <c r="B25" s="14" t="s">
        <v>123</v>
      </c>
      <c r="C25" s="16"/>
      <c r="D25" s="250"/>
      <c r="E25" s="250"/>
      <c r="F25" s="250"/>
      <c r="G25" s="250"/>
      <c r="H25" s="250"/>
      <c r="I25" s="250"/>
      <c r="J25" s="250"/>
      <c r="K25" s="250"/>
      <c r="L25" s="2"/>
      <c r="M25" s="2"/>
    </row>
    <row r="26" spans="2:13">
      <c r="B26" s="390" t="s">
        <v>534</v>
      </c>
      <c r="C26" s="160" t="s">
        <v>128</v>
      </c>
      <c r="D26" s="365">
        <v>2.4692543600000003</v>
      </c>
      <c r="E26" s="400">
        <v>2.3290950399999999</v>
      </c>
      <c r="F26" s="400">
        <v>3.5756000000000001</v>
      </c>
      <c r="G26" s="400">
        <v>3.3085693899999997</v>
      </c>
      <c r="H26" s="400">
        <v>3.0461924338597477</v>
      </c>
      <c r="I26" s="400">
        <v>2.7845323147581302</v>
      </c>
      <c r="J26" s="400">
        <v>2.5228721956565123</v>
      </c>
      <c r="K26" s="404">
        <v>2.2612120765548949</v>
      </c>
      <c r="L26" s="2"/>
      <c r="M26" s="2"/>
    </row>
    <row r="27" spans="2:13">
      <c r="B27" s="390" t="s">
        <v>8</v>
      </c>
      <c r="C27" s="160" t="s">
        <v>128</v>
      </c>
      <c r="D27" s="365">
        <v>0</v>
      </c>
      <c r="E27" s="400">
        <v>0</v>
      </c>
      <c r="F27" s="400">
        <v>0</v>
      </c>
      <c r="G27" s="400">
        <v>0</v>
      </c>
      <c r="H27" s="400">
        <v>0</v>
      </c>
      <c r="I27" s="400">
        <v>0</v>
      </c>
      <c r="J27" s="400">
        <v>0</v>
      </c>
      <c r="K27" s="404">
        <v>0</v>
      </c>
      <c r="L27" s="36"/>
      <c r="M27" s="36"/>
    </row>
    <row r="28" spans="2:13">
      <c r="B28" s="390" t="s">
        <v>9</v>
      </c>
      <c r="C28" s="160" t="s">
        <v>128</v>
      </c>
      <c r="D28" s="365">
        <v>0</v>
      </c>
      <c r="E28" s="400">
        <v>0</v>
      </c>
      <c r="F28" s="400">
        <v>0</v>
      </c>
      <c r="G28" s="400">
        <v>0</v>
      </c>
      <c r="H28" s="400">
        <v>0</v>
      </c>
      <c r="I28" s="400">
        <v>0</v>
      </c>
      <c r="J28" s="400">
        <v>0</v>
      </c>
      <c r="K28" s="404">
        <v>0</v>
      </c>
      <c r="L28" s="36"/>
      <c r="M28" s="36"/>
    </row>
    <row r="29" spans="2:13">
      <c r="B29" s="390" t="s">
        <v>10</v>
      </c>
      <c r="C29" s="160" t="s">
        <v>128</v>
      </c>
      <c r="D29" s="365">
        <v>1.0044278900000001</v>
      </c>
      <c r="E29" s="400">
        <v>1.1981082599999999</v>
      </c>
      <c r="F29" s="400">
        <v>1.1077999999999999</v>
      </c>
      <c r="G29" s="400">
        <v>0.88293801999999999</v>
      </c>
      <c r="H29" s="400">
        <v>0.88293804000000009</v>
      </c>
      <c r="I29" s="400">
        <v>0.88293804000000009</v>
      </c>
      <c r="J29" s="400">
        <v>0.88293804000000009</v>
      </c>
      <c r="K29" s="404">
        <v>0.88293804000000009</v>
      </c>
      <c r="L29" s="36"/>
      <c r="M29" s="36"/>
    </row>
    <row r="30" spans="2:13">
      <c r="B30" s="390" t="s">
        <v>539</v>
      </c>
      <c r="C30" s="160" t="s">
        <v>128</v>
      </c>
      <c r="D30" s="365">
        <v>2.4309200799999999</v>
      </c>
      <c r="E30" s="400">
        <v>2.2854102399999996</v>
      </c>
      <c r="F30" s="400">
        <v>4.3586999999999998</v>
      </c>
      <c r="G30" s="400">
        <v>4.0143425600000002</v>
      </c>
      <c r="H30" s="400">
        <v>3.6684357585315679</v>
      </c>
      <c r="I30" s="400">
        <v>3.6816413095775213</v>
      </c>
      <c r="J30" s="400">
        <v>3.6948468606234748</v>
      </c>
      <c r="K30" s="404">
        <v>3.7080524116694282</v>
      </c>
    </row>
    <row r="31" spans="2:13">
      <c r="B31" s="390" t="s">
        <v>540</v>
      </c>
      <c r="C31" s="160" t="s">
        <v>128</v>
      </c>
      <c r="D31" s="365">
        <v>-43.246400000000008</v>
      </c>
      <c r="E31" s="400">
        <v>-64.864019339999999</v>
      </c>
      <c r="F31" s="400">
        <v>-64.984800000000007</v>
      </c>
      <c r="G31" s="400">
        <v>-66.922182850000013</v>
      </c>
      <c r="H31" s="400">
        <v>-66.922432849999993</v>
      </c>
      <c r="I31" s="400">
        <v>-66.922432849999993</v>
      </c>
      <c r="J31" s="400">
        <v>-66.922432849999993</v>
      </c>
      <c r="K31" s="404">
        <v>-66.922432849999993</v>
      </c>
    </row>
    <row r="32" spans="2:13" ht="12.75" customHeight="1">
      <c r="B32" s="390" t="s">
        <v>542</v>
      </c>
      <c r="C32" s="160" t="s">
        <v>128</v>
      </c>
      <c r="D32" s="365">
        <v>11.566366140000001</v>
      </c>
      <c r="E32" s="400">
        <v>8.8373250399999996</v>
      </c>
      <c r="F32" s="400">
        <v>4.4404000000000003</v>
      </c>
      <c r="G32" s="400">
        <v>2.5139474900000001</v>
      </c>
      <c r="H32" s="400">
        <v>2.84257004</v>
      </c>
      <c r="I32" s="400">
        <v>2.84257004</v>
      </c>
      <c r="J32" s="400">
        <v>2.84257004</v>
      </c>
      <c r="K32" s="404">
        <v>2.84257004</v>
      </c>
    </row>
    <row r="33" spans="2:12">
      <c r="B33" s="390" t="s">
        <v>358</v>
      </c>
      <c r="C33" s="160" t="s">
        <v>128</v>
      </c>
      <c r="D33" s="365">
        <v>0</v>
      </c>
      <c r="E33" s="400">
        <v>0</v>
      </c>
      <c r="F33" s="400">
        <v>0</v>
      </c>
      <c r="G33" s="400">
        <v>0</v>
      </c>
      <c r="H33" s="400">
        <v>0</v>
      </c>
      <c r="I33" s="400">
        <v>0</v>
      </c>
      <c r="J33" s="400">
        <v>0</v>
      </c>
      <c r="K33" s="404">
        <v>0</v>
      </c>
    </row>
    <row r="34" spans="2:12">
      <c r="B34" s="390" t="s">
        <v>359</v>
      </c>
      <c r="C34" s="160" t="s">
        <v>128</v>
      </c>
      <c r="D34" s="365">
        <v>0</v>
      </c>
      <c r="E34" s="400">
        <v>0</v>
      </c>
      <c r="F34" s="400">
        <v>0</v>
      </c>
      <c r="G34" s="400">
        <v>0</v>
      </c>
      <c r="H34" s="400">
        <v>0</v>
      </c>
      <c r="I34" s="400">
        <v>0</v>
      </c>
      <c r="J34" s="400">
        <v>0</v>
      </c>
      <c r="K34" s="404">
        <v>0</v>
      </c>
    </row>
    <row r="35" spans="2:12">
      <c r="B35" s="390" t="s">
        <v>360</v>
      </c>
      <c r="C35" s="160" t="s">
        <v>128</v>
      </c>
      <c r="D35" s="365">
        <v>0</v>
      </c>
      <c r="E35" s="400">
        <v>0</v>
      </c>
      <c r="F35" s="400">
        <v>0</v>
      </c>
      <c r="G35" s="400">
        <v>0</v>
      </c>
      <c r="H35" s="400">
        <v>0</v>
      </c>
      <c r="I35" s="400">
        <v>0</v>
      </c>
      <c r="J35" s="400">
        <v>0</v>
      </c>
      <c r="K35" s="404">
        <v>0</v>
      </c>
    </row>
    <row r="36" spans="2:12">
      <c r="B36" s="390" t="s">
        <v>361</v>
      </c>
      <c r="C36" s="160" t="s">
        <v>128</v>
      </c>
      <c r="D36" s="365">
        <v>0</v>
      </c>
      <c r="E36" s="400">
        <v>0</v>
      </c>
      <c r="F36" s="400">
        <v>0</v>
      </c>
      <c r="G36" s="400">
        <v>0</v>
      </c>
      <c r="H36" s="400">
        <v>0</v>
      </c>
      <c r="I36" s="400">
        <v>0</v>
      </c>
      <c r="J36" s="400">
        <v>0</v>
      </c>
      <c r="K36" s="404">
        <v>0</v>
      </c>
    </row>
    <row r="37" spans="2:12">
      <c r="B37" s="390" t="s">
        <v>362</v>
      </c>
      <c r="C37" s="160" t="s">
        <v>128</v>
      </c>
      <c r="D37" s="365">
        <v>0</v>
      </c>
      <c r="E37" s="400">
        <v>0</v>
      </c>
      <c r="F37" s="400">
        <v>0</v>
      </c>
      <c r="G37" s="400">
        <v>0</v>
      </c>
      <c r="H37" s="400">
        <v>0</v>
      </c>
      <c r="I37" s="400">
        <v>0</v>
      </c>
      <c r="J37" s="400">
        <v>0</v>
      </c>
      <c r="K37" s="404">
        <v>0</v>
      </c>
    </row>
    <row r="38" spans="2:12">
      <c r="B38" s="390" t="s">
        <v>363</v>
      </c>
      <c r="C38" s="160" t="s">
        <v>128</v>
      </c>
      <c r="D38" s="365">
        <v>0</v>
      </c>
      <c r="E38" s="400">
        <v>0</v>
      </c>
      <c r="F38" s="400">
        <v>0</v>
      </c>
      <c r="G38" s="400">
        <v>0</v>
      </c>
      <c r="H38" s="400">
        <v>0</v>
      </c>
      <c r="I38" s="400">
        <v>0</v>
      </c>
      <c r="J38" s="400">
        <v>0</v>
      </c>
      <c r="K38" s="404">
        <v>0</v>
      </c>
    </row>
    <row r="39" spans="2:12">
      <c r="B39" s="390" t="s">
        <v>364</v>
      </c>
      <c r="C39" s="160" t="s">
        <v>128</v>
      </c>
      <c r="D39" s="365">
        <v>0</v>
      </c>
      <c r="E39" s="400">
        <v>0</v>
      </c>
      <c r="F39" s="400">
        <v>0</v>
      </c>
      <c r="G39" s="400">
        <v>0</v>
      </c>
      <c r="H39" s="400">
        <v>0</v>
      </c>
      <c r="I39" s="400">
        <v>0</v>
      </c>
      <c r="J39" s="400">
        <v>0</v>
      </c>
      <c r="K39" s="404">
        <v>0</v>
      </c>
    </row>
    <row r="40" spans="2:12">
      <c r="B40" s="390" t="s">
        <v>365</v>
      </c>
      <c r="C40" s="160" t="s">
        <v>128</v>
      </c>
      <c r="D40" s="365">
        <v>0</v>
      </c>
      <c r="E40" s="400">
        <v>0</v>
      </c>
      <c r="F40" s="400">
        <v>0</v>
      </c>
      <c r="G40" s="400">
        <v>0</v>
      </c>
      <c r="H40" s="400">
        <v>0</v>
      </c>
      <c r="I40" s="400">
        <v>0</v>
      </c>
      <c r="J40" s="400">
        <v>0</v>
      </c>
      <c r="K40" s="404">
        <v>0</v>
      </c>
    </row>
    <row r="41" spans="2:12">
      <c r="B41" s="390" t="s">
        <v>366</v>
      </c>
      <c r="C41" s="160" t="s">
        <v>128</v>
      </c>
      <c r="D41" s="401">
        <v>0</v>
      </c>
      <c r="E41" s="402">
        <v>0</v>
      </c>
      <c r="F41" s="402">
        <v>0</v>
      </c>
      <c r="G41" s="402">
        <v>0</v>
      </c>
      <c r="H41" s="402">
        <v>0</v>
      </c>
      <c r="I41" s="402">
        <v>0</v>
      </c>
      <c r="J41" s="402">
        <v>0</v>
      </c>
      <c r="K41" s="405">
        <v>0</v>
      </c>
    </row>
    <row r="42" spans="2:12">
      <c r="B42" s="209" t="s">
        <v>234</v>
      </c>
      <c r="C42" s="160" t="s">
        <v>128</v>
      </c>
      <c r="D42" s="732">
        <f>SUM(D23,D26:D41)</f>
        <v>817.83704058000012</v>
      </c>
      <c r="E42" s="732">
        <f t="shared" ref="E42:K42" si="3">SUM(E23,E26:E41)</f>
        <v>850.06388466999988</v>
      </c>
      <c r="F42" s="732">
        <f t="shared" si="3"/>
        <v>946.47435428999984</v>
      </c>
      <c r="G42" s="732">
        <f t="shared" si="3"/>
        <v>977.99709547999976</v>
      </c>
      <c r="H42" s="732">
        <f t="shared" si="3"/>
        <v>1103.9113967607584</v>
      </c>
      <c r="I42" s="732">
        <f t="shared" si="3"/>
        <v>1092.658405126856</v>
      </c>
      <c r="J42" s="732">
        <f t="shared" si="3"/>
        <v>1017.8716520151386</v>
      </c>
      <c r="K42" s="732">
        <f t="shared" si="3"/>
        <v>1059.6512675142005</v>
      </c>
    </row>
    <row r="43" spans="2:12">
      <c r="B43" s="391" t="s">
        <v>306</v>
      </c>
      <c r="C43" s="160" t="s">
        <v>128</v>
      </c>
      <c r="D43" s="733"/>
      <c r="E43" s="734"/>
      <c r="F43" s="734"/>
      <c r="G43" s="735"/>
      <c r="H43" s="735">
        <v>0</v>
      </c>
      <c r="I43" s="735">
        <v>66.666666666666671</v>
      </c>
      <c r="J43" s="735">
        <v>200</v>
      </c>
      <c r="K43" s="736">
        <v>200</v>
      </c>
    </row>
    <row r="44" spans="2:12">
      <c r="B44" s="364" t="s">
        <v>438</v>
      </c>
      <c r="C44" s="160" t="s">
        <v>128</v>
      </c>
      <c r="D44" s="97">
        <f>SUM(D42:D43)</f>
        <v>817.83704058000012</v>
      </c>
      <c r="E44" s="98">
        <f t="shared" ref="E44:K44" si="4">SUM(E42:E43)</f>
        <v>850.06388466999988</v>
      </c>
      <c r="F44" s="98">
        <f t="shared" si="4"/>
        <v>946.47435428999984</v>
      </c>
      <c r="G44" s="98">
        <f t="shared" si="4"/>
        <v>977.99709547999976</v>
      </c>
      <c r="H44" s="98">
        <f t="shared" si="4"/>
        <v>1103.9113967607584</v>
      </c>
      <c r="I44" s="98">
        <f t="shared" si="4"/>
        <v>1159.3250717935227</v>
      </c>
      <c r="J44" s="98">
        <f t="shared" si="4"/>
        <v>1217.8716520151386</v>
      </c>
      <c r="K44" s="99">
        <f t="shared" si="4"/>
        <v>1259.6512675142005</v>
      </c>
    </row>
    <row r="45" spans="2:12">
      <c r="D45" s="236"/>
      <c r="E45" s="237"/>
      <c r="F45" s="237"/>
      <c r="G45" s="237"/>
      <c r="H45" s="237"/>
      <c r="I45" s="237"/>
      <c r="J45" s="237"/>
      <c r="K45" s="238"/>
    </row>
    <row r="47" spans="2:12">
      <c r="B47" s="848" t="s">
        <v>439</v>
      </c>
      <c r="C47" s="160" t="s">
        <v>128</v>
      </c>
      <c r="D47" s="863">
        <v>660.58842301000016</v>
      </c>
      <c r="E47" s="98">
        <f>D48</f>
        <v>817.83704058000012</v>
      </c>
      <c r="F47" s="98">
        <f t="shared" ref="F47:K47" si="5">E48</f>
        <v>850.06388466999988</v>
      </c>
      <c r="G47" s="98">
        <f t="shared" si="5"/>
        <v>946.47435428999984</v>
      </c>
      <c r="H47" s="98">
        <f t="shared" si="5"/>
        <v>977.99709547999976</v>
      </c>
      <c r="I47" s="98">
        <f t="shared" si="5"/>
        <v>1103.9113967607584</v>
      </c>
      <c r="J47" s="98">
        <f t="shared" si="5"/>
        <v>1159.3250717935227</v>
      </c>
      <c r="K47" s="99">
        <f t="shared" si="5"/>
        <v>1217.8716520151386</v>
      </c>
      <c r="L47" s="847"/>
    </row>
    <row r="48" spans="2:12">
      <c r="B48" s="848" t="s">
        <v>440</v>
      </c>
      <c r="C48" s="160" t="s">
        <v>128</v>
      </c>
      <c r="D48" s="605">
        <f>D44</f>
        <v>817.83704058000012</v>
      </c>
      <c r="E48" s="606">
        <f>E44</f>
        <v>850.06388466999988</v>
      </c>
      <c r="F48" s="606">
        <f t="shared" ref="F48:K48" si="6">F44</f>
        <v>946.47435428999984</v>
      </c>
      <c r="G48" s="606">
        <f t="shared" si="6"/>
        <v>977.99709547999976</v>
      </c>
      <c r="H48" s="606">
        <f t="shared" si="6"/>
        <v>1103.9113967607584</v>
      </c>
      <c r="I48" s="606">
        <f t="shared" si="6"/>
        <v>1159.3250717935227</v>
      </c>
      <c r="J48" s="606">
        <f t="shared" si="6"/>
        <v>1217.8716520151386</v>
      </c>
      <c r="K48" s="862">
        <f t="shared" si="6"/>
        <v>1259.6512675142005</v>
      </c>
      <c r="L48" s="847"/>
    </row>
    <row r="49" spans="2:13">
      <c r="D49" s="23"/>
      <c r="E49" s="23"/>
      <c r="F49" s="23"/>
      <c r="G49" s="23"/>
      <c r="H49" s="23"/>
      <c r="I49" s="23"/>
      <c r="J49" s="23"/>
      <c r="K49" s="23"/>
    </row>
    <row r="50" spans="2:13">
      <c r="B50" s="14" t="s">
        <v>124</v>
      </c>
    </row>
    <row r="51" spans="2:13">
      <c r="B51" t="s">
        <v>125</v>
      </c>
      <c r="C51" s="506" t="s">
        <v>7</v>
      </c>
      <c r="D51" s="500">
        <v>0</v>
      </c>
      <c r="E51" s="501">
        <v>0</v>
      </c>
      <c r="F51" s="501">
        <v>0</v>
      </c>
      <c r="G51" s="501">
        <v>0</v>
      </c>
      <c r="H51" s="501">
        <v>0</v>
      </c>
      <c r="I51" s="501">
        <v>0</v>
      </c>
      <c r="J51" s="501">
        <v>0</v>
      </c>
      <c r="K51" s="502">
        <v>0</v>
      </c>
    </row>
    <row r="52" spans="2:13">
      <c r="B52" t="s">
        <v>126</v>
      </c>
      <c r="C52" s="506" t="s">
        <v>7</v>
      </c>
      <c r="D52" s="512">
        <f>1-D51</f>
        <v>1</v>
      </c>
      <c r="E52" s="513">
        <f t="shared" ref="E52:K52" si="7">1-E51</f>
        <v>1</v>
      </c>
      <c r="F52" s="513">
        <f t="shared" si="7"/>
        <v>1</v>
      </c>
      <c r="G52" s="513">
        <f t="shared" si="7"/>
        <v>1</v>
      </c>
      <c r="H52" s="513">
        <f t="shared" si="7"/>
        <v>1</v>
      </c>
      <c r="I52" s="513">
        <f t="shared" si="7"/>
        <v>1</v>
      </c>
      <c r="J52" s="513">
        <f t="shared" si="7"/>
        <v>1</v>
      </c>
      <c r="K52" s="514">
        <f t="shared" si="7"/>
        <v>1</v>
      </c>
    </row>
    <row r="53" spans="2:13">
      <c r="C53" s="847"/>
      <c r="D53" s="847"/>
      <c r="E53" s="847"/>
      <c r="F53" s="847"/>
      <c r="G53" s="847"/>
      <c r="H53" s="847"/>
      <c r="I53" s="847"/>
      <c r="J53" s="847"/>
      <c r="K53" s="847"/>
      <c r="L53" s="847"/>
    </row>
    <row r="54" spans="2:13">
      <c r="B54" s="210" t="s">
        <v>462</v>
      </c>
      <c r="C54" s="280" t="s">
        <v>128</v>
      </c>
      <c r="D54" s="737">
        <f>AVERAGE(D47:D48)*D52</f>
        <v>739.21273179500008</v>
      </c>
      <c r="E54" s="738">
        <f t="shared" ref="E54:K54" si="8">AVERAGE(E47:E48)*E52</f>
        <v>833.950462625</v>
      </c>
      <c r="F54" s="738">
        <f t="shared" si="8"/>
        <v>898.26911947999986</v>
      </c>
      <c r="G54" s="738">
        <f t="shared" si="8"/>
        <v>962.23572488499985</v>
      </c>
      <c r="H54" s="738">
        <f t="shared" si="8"/>
        <v>1040.9542461203791</v>
      </c>
      <c r="I54" s="738">
        <f t="shared" si="8"/>
        <v>1131.6182342771406</v>
      </c>
      <c r="J54" s="738">
        <f t="shared" si="8"/>
        <v>1188.5983619043307</v>
      </c>
      <c r="K54" s="739">
        <f t="shared" si="8"/>
        <v>1238.7614597646696</v>
      </c>
    </row>
    <row r="55" spans="2:13">
      <c r="B55" s="210" t="s">
        <v>272</v>
      </c>
      <c r="C55" s="160" t="s">
        <v>128</v>
      </c>
      <c r="D55" s="726">
        <f>D56-D54</f>
        <v>571.49344202692168</v>
      </c>
      <c r="E55" s="727">
        <f t="shared" ref="E55:K55" si="9">E56-E54</f>
        <v>574.32390387237319</v>
      </c>
      <c r="F55" s="727">
        <f t="shared" si="9"/>
        <v>617.48327745788595</v>
      </c>
      <c r="G55" s="727">
        <f t="shared" si="9"/>
        <v>653.83247786072434</v>
      </c>
      <c r="H55" s="727">
        <f t="shared" si="9"/>
        <v>677.15830822745534</v>
      </c>
      <c r="I55" s="727">
        <f t="shared" si="9"/>
        <v>694.1836030611546</v>
      </c>
      <c r="J55" s="727">
        <f t="shared" si="9"/>
        <v>759.40671897455036</v>
      </c>
      <c r="K55" s="728">
        <f t="shared" si="9"/>
        <v>848.9866619616771</v>
      </c>
    </row>
    <row r="56" spans="2:13">
      <c r="B56" s="210" t="s">
        <v>510</v>
      </c>
      <c r="C56" s="160" t="s">
        <v>128</v>
      </c>
      <c r="D56" s="900">
        <f>IF(D6='RFPR cover'!$C$13,AVERAGE(('R9 - RAV'!D16*'R9 - RAV'!D36),'R9 - RAV'!D38),AVERAGE('R9 - RAV'!C38:D38))</f>
        <v>1310.7061738219218</v>
      </c>
      <c r="E56" s="900">
        <f>IF(E6='RFPR cover'!$C$13,AVERAGE(('R9 - RAV'!E16*'R9 - RAV'!E36),'R9 - RAV'!E38),AVERAGE('R9 - RAV'!D38:E38))</f>
        <v>1408.2743664973732</v>
      </c>
      <c r="F56" s="900">
        <f>IF(F6='RFPR cover'!$C$13,AVERAGE(('R9 - RAV'!F16*'R9 - RAV'!F36),'R9 - RAV'!F38),AVERAGE('R9 - RAV'!E38:F38))</f>
        <v>1515.7523969378858</v>
      </c>
      <c r="G56" s="900">
        <f>IF(G6='RFPR cover'!$C$13,AVERAGE(('R9 - RAV'!G16*'R9 - RAV'!G36),'R9 - RAV'!G38),AVERAGE('R9 - RAV'!F38:G38))</f>
        <v>1616.0682027457242</v>
      </c>
      <c r="H56" s="900">
        <f>IF(H6='RFPR cover'!$C$13,AVERAGE(('R9 - RAV'!H16*'R9 - RAV'!H36),'R9 - RAV'!H38),AVERAGE('R9 - RAV'!G38:H38))</f>
        <v>1718.1125543478345</v>
      </c>
      <c r="I56" s="900">
        <f>IF(I6='RFPR cover'!$C$13,AVERAGE(('R9 - RAV'!I16*'R9 - RAV'!I36),'R9 - RAV'!I38),AVERAGE('R9 - RAV'!H38:I38))</f>
        <v>1825.8018373382952</v>
      </c>
      <c r="J56" s="900">
        <f>IF(J6='RFPR cover'!$C$13,AVERAGE(('R9 - RAV'!J16*'R9 - RAV'!J36),'R9 - RAV'!J38),AVERAGE('R9 - RAV'!I38:J38))</f>
        <v>1948.005080878881</v>
      </c>
      <c r="K56" s="900">
        <f>IF(K6='RFPR cover'!$C$13,AVERAGE(('R9 - RAV'!K16*'R9 - RAV'!K36),'R9 - RAV'!K38),AVERAGE('R9 - RAV'!J38:K38))</f>
        <v>2087.7481217263467</v>
      </c>
    </row>
    <row r="57" spans="2:13">
      <c r="B57" s="210" t="s">
        <v>235</v>
      </c>
      <c r="C57" s="160" t="s">
        <v>7</v>
      </c>
      <c r="D57" s="241">
        <f>D54/D56</f>
        <v>0.56398050650780918</v>
      </c>
      <c r="E57" s="242">
        <f t="shared" ref="E57:K57" si="10">E54/E56</f>
        <v>0.59217896914447288</v>
      </c>
      <c r="F57" s="242">
        <f t="shared" si="10"/>
        <v>0.59262259541510731</v>
      </c>
      <c r="G57" s="242">
        <f t="shared" si="10"/>
        <v>0.59541776965238646</v>
      </c>
      <c r="H57" s="242">
        <f t="shared" si="10"/>
        <v>0.60587081066729487</v>
      </c>
      <c r="I57" s="242">
        <f t="shared" si="10"/>
        <v>0.61979247207180221</v>
      </c>
      <c r="J57" s="242">
        <f t="shared" si="10"/>
        <v>0.61016183867860907</v>
      </c>
      <c r="K57" s="243">
        <f t="shared" si="10"/>
        <v>0.59334813758105309</v>
      </c>
    </row>
    <row r="58" spans="2:13">
      <c r="B58" s="210" t="s">
        <v>115</v>
      </c>
      <c r="C58" s="160" t="s">
        <v>7</v>
      </c>
      <c r="D58" s="901">
        <f>'RFPR cover'!$C$12</f>
        <v>0.65</v>
      </c>
      <c r="E58" s="902">
        <f>'RFPR cover'!$C$12</f>
        <v>0.65</v>
      </c>
      <c r="F58" s="902">
        <f>'RFPR cover'!$C$12</f>
        <v>0.65</v>
      </c>
      <c r="G58" s="902">
        <f>'RFPR cover'!$C$12</f>
        <v>0.65</v>
      </c>
      <c r="H58" s="902">
        <f>'RFPR cover'!$C$12</f>
        <v>0.65</v>
      </c>
      <c r="I58" s="902">
        <f>'RFPR cover'!$C$12</f>
        <v>0.65</v>
      </c>
      <c r="J58" s="902">
        <f>'RFPR cover'!$C$12</f>
        <v>0.65</v>
      </c>
      <c r="K58" s="903">
        <f>'RFPR cover'!$C$12</f>
        <v>0.65</v>
      </c>
    </row>
    <row r="59" spans="2:13">
      <c r="B59" s="210" t="s">
        <v>236</v>
      </c>
      <c r="C59" s="160" t="s">
        <v>7</v>
      </c>
      <c r="D59" s="246">
        <f t="shared" ref="D59:K59" si="11">IF(ISBLANK(D23),"n/a",D57-D58)</f>
        <v>-8.6019493492190846E-2</v>
      </c>
      <c r="E59" s="247">
        <f t="shared" si="11"/>
        <v>-5.7821030855527145E-2</v>
      </c>
      <c r="F59" s="247">
        <f t="shared" si="11"/>
        <v>-5.7377404584892711E-2</v>
      </c>
      <c r="G59" s="247">
        <f t="shared" si="11"/>
        <v>-5.4582230347613558E-2</v>
      </c>
      <c r="H59" s="247">
        <f t="shared" si="11"/>
        <v>-4.4129189332705154E-2</v>
      </c>
      <c r="I59" s="247">
        <f t="shared" si="11"/>
        <v>-3.0207527928197808E-2</v>
      </c>
      <c r="J59" s="247">
        <f t="shared" si="11"/>
        <v>-3.9838161321390952E-2</v>
      </c>
      <c r="K59" s="248">
        <f t="shared" si="11"/>
        <v>-5.665186241894693E-2</v>
      </c>
    </row>
    <row r="61" spans="2:13">
      <c r="B61" s="210" t="s">
        <v>517</v>
      </c>
      <c r="C61" s="163" t="str">
        <f>'RFPR cover'!$C$14</f>
        <v>£m 12/13</v>
      </c>
      <c r="D61" s="904">
        <f t="shared" ref="D61:K61" si="12">D63*D57</f>
        <v>683.7459768697662</v>
      </c>
      <c r="E61" s="730">
        <f t="shared" si="12"/>
        <v>753.59588701728546</v>
      </c>
      <c r="F61" s="730">
        <f t="shared" si="12"/>
        <v>786.0650848339701</v>
      </c>
      <c r="G61" s="730">
        <f t="shared" si="12"/>
        <v>818.00232602136214</v>
      </c>
      <c r="H61" s="730">
        <f t="shared" si="12"/>
        <v>862.70475118822822</v>
      </c>
      <c r="I61" s="730">
        <f t="shared" si="12"/>
        <v>914.45426213022529</v>
      </c>
      <c r="J61" s="730">
        <f t="shared" si="12"/>
        <v>933.97610992442537</v>
      </c>
      <c r="K61" s="731">
        <f t="shared" si="12"/>
        <v>945.16191997854287</v>
      </c>
      <c r="M61" s="341"/>
    </row>
    <row r="62" spans="2:13">
      <c r="B62" s="210" t="s">
        <v>515</v>
      </c>
      <c r="C62" s="163" t="str">
        <f>'RFPR cover'!$C$14</f>
        <v>£m 12/13</v>
      </c>
      <c r="D62" s="693">
        <f>D63*(1-D57)</f>
        <v>528.61148758153161</v>
      </c>
      <c r="E62" s="694">
        <f t="shared" ref="E62:K62" si="13">E63*(1-E57)</f>
        <v>518.98542080256709</v>
      </c>
      <c r="F62" s="694">
        <f t="shared" si="13"/>
        <v>540.35258961086674</v>
      </c>
      <c r="G62" s="694">
        <f t="shared" si="13"/>
        <v>555.82688720303292</v>
      </c>
      <c r="H62" s="694">
        <f t="shared" si="13"/>
        <v>561.20400295370052</v>
      </c>
      <c r="I62" s="694">
        <f t="shared" si="13"/>
        <v>560.96582335975609</v>
      </c>
      <c r="J62" s="694">
        <f t="shared" si="13"/>
        <v>596.72615743972415</v>
      </c>
      <c r="K62" s="695">
        <f t="shared" si="13"/>
        <v>647.76786291713699</v>
      </c>
      <c r="M62" s="341"/>
    </row>
    <row r="63" spans="2:13">
      <c r="B63" s="210" t="s">
        <v>516</v>
      </c>
      <c r="C63" s="163" t="str">
        <f>'RFPR cover'!$C$14</f>
        <v>£m 12/13</v>
      </c>
      <c r="D63" s="899">
        <f>'R9 - RAV'!D47</f>
        <v>1212.3574644512978</v>
      </c>
      <c r="E63" s="899">
        <f>'R9 - RAV'!E47</f>
        <v>1272.5813078198526</v>
      </c>
      <c r="F63" s="899">
        <f>'R9 - RAV'!F47</f>
        <v>1326.4176744448368</v>
      </c>
      <c r="G63" s="899">
        <f>'R9 - RAV'!G47</f>
        <v>1373.8292132243951</v>
      </c>
      <c r="H63" s="899">
        <f>'R9 - RAV'!H47</f>
        <v>1423.9087541419287</v>
      </c>
      <c r="I63" s="899">
        <f>'R9 - RAV'!I47</f>
        <v>1475.4200854899814</v>
      </c>
      <c r="J63" s="899">
        <f>'R9 - RAV'!J47</f>
        <v>1530.7022673641495</v>
      </c>
      <c r="K63" s="899">
        <f>'R9 - RAV'!K47</f>
        <v>1592.9297828956799</v>
      </c>
    </row>
    <row r="64" spans="2:13">
      <c r="B64" s="210" t="s">
        <v>235</v>
      </c>
      <c r="C64" s="160" t="s">
        <v>7</v>
      </c>
      <c r="D64" s="241">
        <f>D61/D63</f>
        <v>0.56398050650780918</v>
      </c>
      <c r="E64" s="242">
        <f t="shared" ref="E64:K64" si="14">E61/E63</f>
        <v>0.59217896914447288</v>
      </c>
      <c r="F64" s="242">
        <f t="shared" si="14"/>
        <v>0.59262259541510731</v>
      </c>
      <c r="G64" s="242">
        <f t="shared" si="14"/>
        <v>0.59541776965238646</v>
      </c>
      <c r="H64" s="242">
        <f t="shared" si="14"/>
        <v>0.60587081066729487</v>
      </c>
      <c r="I64" s="242">
        <f t="shared" si="14"/>
        <v>0.61979247207180221</v>
      </c>
      <c r="J64" s="242">
        <f t="shared" si="14"/>
        <v>0.61016183867860907</v>
      </c>
      <c r="K64" s="243">
        <f t="shared" si="14"/>
        <v>0.59334813758105309</v>
      </c>
    </row>
    <row r="65" spans="2:11">
      <c r="B65" s="210" t="s">
        <v>115</v>
      </c>
      <c r="C65" s="160" t="s">
        <v>7</v>
      </c>
      <c r="D65" s="901">
        <f>'RFPR cover'!$C$12</f>
        <v>0.65</v>
      </c>
      <c r="E65" s="902">
        <f>'RFPR cover'!$C$12</f>
        <v>0.65</v>
      </c>
      <c r="F65" s="902">
        <f>'RFPR cover'!$C$12</f>
        <v>0.65</v>
      </c>
      <c r="G65" s="902">
        <f>'RFPR cover'!$C$12</f>
        <v>0.65</v>
      </c>
      <c r="H65" s="902">
        <f>'RFPR cover'!$C$12</f>
        <v>0.65</v>
      </c>
      <c r="I65" s="902">
        <f>'RFPR cover'!$C$12</f>
        <v>0.65</v>
      </c>
      <c r="J65" s="902">
        <f>'RFPR cover'!$C$12</f>
        <v>0.65</v>
      </c>
      <c r="K65" s="903">
        <f>'RFPR cover'!$C$12</f>
        <v>0.65</v>
      </c>
    </row>
    <row r="66" spans="2:11">
      <c r="B66" s="210" t="s">
        <v>236</v>
      </c>
      <c r="C66" s="160" t="s">
        <v>7</v>
      </c>
      <c r="D66" s="246">
        <f t="shared" ref="D66:K66" si="15">IF(ISBLANK(D23),"n/a",D64-D65)</f>
        <v>-8.6019493492190846E-2</v>
      </c>
      <c r="E66" s="247">
        <f t="shared" si="15"/>
        <v>-5.7821030855527145E-2</v>
      </c>
      <c r="F66" s="247">
        <f t="shared" si="15"/>
        <v>-5.7377404584892711E-2</v>
      </c>
      <c r="G66" s="247">
        <f t="shared" si="15"/>
        <v>-5.4582230347613558E-2</v>
      </c>
      <c r="H66" s="247">
        <f t="shared" si="15"/>
        <v>-4.4129189332705154E-2</v>
      </c>
      <c r="I66" s="247">
        <f t="shared" si="15"/>
        <v>-3.0207527928197808E-2</v>
      </c>
      <c r="J66" s="247">
        <f t="shared" si="15"/>
        <v>-3.9838161321390952E-2</v>
      </c>
      <c r="K66" s="248">
        <f t="shared" si="15"/>
        <v>-5.665186241894693E-2</v>
      </c>
    </row>
  </sheetData>
  <conditionalFormatting sqref="D6:K6">
    <cfRule type="expression" dxfId="32" priority="18">
      <formula>AND(D$5="Actuals",E$5="Forecast")</formula>
    </cfRule>
  </conditionalFormatting>
  <conditionalFormatting sqref="D5:K5">
    <cfRule type="expression" dxfId="31" priority="7">
      <formula>AND(D$5="Actuals",E$5="Forecast")</formula>
    </cfRule>
  </conditionalFormatting>
  <pageMargins left="0.70866141732283472" right="0.70866141732283472" top="0.74803149606299213" bottom="0.74803149606299213" header="0.31496062992125984" footer="0.31496062992125984"/>
  <pageSetup paperSize="8" scale="8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N63"/>
  <sheetViews>
    <sheetView showGridLines="0" zoomScale="80" zoomScaleNormal="80" workbookViewId="0">
      <pane ySplit="6" topLeftCell="A7" activePane="bottomLeft" state="frozen"/>
      <selection activeCell="G29" sqref="G29"/>
      <selection pane="bottomLeft" activeCell="A3" sqref="A3"/>
    </sheetView>
  </sheetViews>
  <sheetFormatPr defaultRowHeight="12.75"/>
  <cols>
    <col min="1" max="1" width="8.375" customWidth="1"/>
    <col min="2" max="2" width="100.125" customWidth="1"/>
    <col min="3" max="3" width="14.125" style="208" customWidth="1"/>
    <col min="4" max="11" width="11.125" customWidth="1"/>
    <col min="12" max="12" width="5" customWidth="1"/>
    <col min="14" max="14" width="9" style="223"/>
  </cols>
  <sheetData>
    <row r="1" spans="1:14" s="32" customFormat="1" ht="20.25">
      <c r="A1" s="382" t="s">
        <v>120</v>
      </c>
      <c r="B1" s="123"/>
      <c r="C1" s="421"/>
      <c r="D1" s="123"/>
      <c r="E1" s="123"/>
      <c r="F1" s="123"/>
      <c r="G1" s="123"/>
      <c r="H1" s="123"/>
      <c r="I1" s="131"/>
      <c r="J1" s="131"/>
      <c r="K1" s="132"/>
      <c r="L1" s="383"/>
      <c r="N1" s="222"/>
    </row>
    <row r="2" spans="1:14" s="32" customFormat="1" ht="20.25">
      <c r="A2" s="126" t="str">
        <f>'RFPR cover'!C5</f>
        <v>WPD-SWEST</v>
      </c>
      <c r="B2" s="30"/>
      <c r="C2" s="231"/>
      <c r="D2" s="30"/>
      <c r="E2" s="30"/>
      <c r="F2" s="30"/>
      <c r="G2" s="30"/>
      <c r="H2" s="30"/>
      <c r="I2" s="27"/>
      <c r="J2" s="27"/>
      <c r="K2" s="27"/>
      <c r="L2" s="127"/>
      <c r="N2" s="222"/>
    </row>
    <row r="3" spans="1:14" s="32" customFormat="1" ht="20.25">
      <c r="A3" s="273">
        <f>'RFPR cover'!C7</f>
        <v>2019</v>
      </c>
      <c r="B3" s="274"/>
      <c r="C3" s="422"/>
      <c r="D3" s="274"/>
      <c r="E3" s="274"/>
      <c r="F3" s="274"/>
      <c r="G3" s="274"/>
      <c r="H3" s="274"/>
      <c r="I3" s="267"/>
      <c r="J3" s="267"/>
      <c r="K3" s="267"/>
      <c r="L3" s="275"/>
      <c r="N3" s="222"/>
    </row>
    <row r="4" spans="1:14" s="2" customFormat="1" ht="12.75" customHeight="1">
      <c r="C4" s="1"/>
      <c r="N4" s="134"/>
    </row>
    <row r="5" spans="1:14" s="2" customFormat="1">
      <c r="B5" s="39"/>
      <c r="C5" s="232"/>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c r="N5" s="134"/>
    </row>
    <row r="6" spans="1:14" s="2" customFormat="1">
      <c r="C6" s="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N6" s="134"/>
    </row>
    <row r="7" spans="1:14" s="2" customFormat="1">
      <c r="A7" s="36"/>
      <c r="B7" s="36"/>
      <c r="C7" s="339"/>
      <c r="D7" s="455"/>
      <c r="E7" s="455"/>
      <c r="F7" s="455"/>
      <c r="G7" s="455"/>
      <c r="H7" s="455"/>
      <c r="I7" s="455"/>
      <c r="J7" s="455"/>
      <c r="K7" s="455"/>
      <c r="L7" s="36"/>
      <c r="M7" s="36"/>
      <c r="N7" s="235"/>
    </row>
    <row r="8" spans="1:14" s="2" customFormat="1">
      <c r="B8" s="12" t="s">
        <v>323</v>
      </c>
      <c r="N8" s="134"/>
    </row>
    <row r="9" spans="1:14" s="2" customFormat="1">
      <c r="B9" s="389" t="s">
        <v>322</v>
      </c>
      <c r="C9" s="389"/>
      <c r="D9" s="389"/>
      <c r="E9" s="389"/>
      <c r="F9" s="389"/>
      <c r="G9" s="389"/>
      <c r="H9" s="389"/>
      <c r="I9" s="389"/>
      <c r="J9" s="389"/>
      <c r="K9" s="389"/>
      <c r="L9" s="389"/>
      <c r="N9" s="134"/>
    </row>
    <row r="10" spans="1:14" s="36" customFormat="1">
      <c r="B10" s="454"/>
      <c r="C10" s="454"/>
      <c r="D10" s="454"/>
      <c r="E10" s="454"/>
      <c r="F10" s="454"/>
      <c r="G10" s="454"/>
      <c r="H10" s="454"/>
      <c r="I10" s="454"/>
      <c r="J10" s="454"/>
      <c r="K10" s="454"/>
      <c r="L10" s="454"/>
      <c r="N10" s="235"/>
    </row>
    <row r="11" spans="1:14" s="2" customFormat="1">
      <c r="B11" s="210" t="s">
        <v>321</v>
      </c>
      <c r="C11" s="220" t="str">
        <f>'RFPR cover'!$C$14</f>
        <v>£m 12/13</v>
      </c>
      <c r="D11" s="740">
        <v>1265.4860531644608</v>
      </c>
      <c r="E11" s="740">
        <v>1328.1379138961815</v>
      </c>
      <c r="F11" s="740">
        <v>1378.3865367577907</v>
      </c>
      <c r="G11" s="740">
        <v>1430.4465237493275</v>
      </c>
      <c r="H11" s="740">
        <v>1478.3722471760375</v>
      </c>
      <c r="I11" s="740">
        <v>1525.0670398356249</v>
      </c>
      <c r="J11" s="740">
        <v>1583.3896317335459</v>
      </c>
      <c r="K11" s="740">
        <v>1649.708753415191</v>
      </c>
      <c r="N11" s="134"/>
    </row>
    <row r="12" spans="1:14" s="2" customFormat="1">
      <c r="N12" s="134"/>
    </row>
    <row r="13" spans="1:14" s="2" customFormat="1">
      <c r="B13" s="12" t="s">
        <v>324</v>
      </c>
      <c r="C13" s="1"/>
      <c r="D13" s="1"/>
      <c r="E13" s="1"/>
      <c r="F13" s="1"/>
      <c r="G13" s="1"/>
      <c r="H13" s="1"/>
      <c r="I13" s="1"/>
      <c r="J13" s="1"/>
      <c r="K13" s="1"/>
      <c r="N13" s="134"/>
    </row>
    <row r="14" spans="1:14" s="2" customFormat="1">
      <c r="B14" s="389" t="s">
        <v>346</v>
      </c>
      <c r="C14" s="340"/>
      <c r="D14" s="340"/>
      <c r="E14" s="340"/>
      <c r="F14" s="340"/>
      <c r="G14" s="340"/>
      <c r="H14" s="340"/>
      <c r="I14" s="340"/>
      <c r="J14" s="340"/>
      <c r="K14" s="340"/>
      <c r="L14" s="308"/>
      <c r="N14" s="134"/>
    </row>
    <row r="15" spans="1:14" s="36" customFormat="1">
      <c r="B15" s="454"/>
      <c r="C15" s="339"/>
      <c r="D15" s="339"/>
      <c r="E15" s="339"/>
      <c r="F15" s="339"/>
      <c r="G15" s="339"/>
      <c r="H15" s="339"/>
      <c r="I15" s="339"/>
      <c r="J15" s="339"/>
      <c r="K15" s="339"/>
      <c r="N15" s="235"/>
    </row>
    <row r="16" spans="1:14" s="2" customFormat="1">
      <c r="B16" s="416" t="s">
        <v>325</v>
      </c>
      <c r="C16" s="220" t="str">
        <f>'RFPR cover'!$C$14</f>
        <v>£m 12/13</v>
      </c>
      <c r="D16" s="609">
        <v>1206.7009697943779</v>
      </c>
      <c r="E16" s="741">
        <f>D29</f>
        <v>1265.4860531644608</v>
      </c>
      <c r="F16" s="741">
        <f t="shared" ref="F16:K16" si="1">E29</f>
        <v>1328.1379138961815</v>
      </c>
      <c r="G16" s="741">
        <f t="shared" si="1"/>
        <v>1373.4860415243022</v>
      </c>
      <c r="H16" s="741">
        <f t="shared" si="1"/>
        <v>1422.0141965056339</v>
      </c>
      <c r="I16" s="741">
        <f t="shared" si="1"/>
        <v>1472.3843059740182</v>
      </c>
      <c r="J16" s="741">
        <f t="shared" si="1"/>
        <v>1522.5286343417717</v>
      </c>
      <c r="K16" s="612">
        <f t="shared" si="1"/>
        <v>1582.5491984394969</v>
      </c>
      <c r="N16" s="134"/>
    </row>
    <row r="17" spans="2:14" s="2" customFormat="1">
      <c r="B17" s="416" t="s">
        <v>326</v>
      </c>
      <c r="C17" s="220" t="str">
        <f>'RFPR cover'!$C$14</f>
        <v>£m 12/13</v>
      </c>
      <c r="D17" s="617"/>
      <c r="E17" s="618"/>
      <c r="F17" s="618"/>
      <c r="G17" s="618"/>
      <c r="H17" s="618"/>
      <c r="I17" s="618"/>
      <c r="J17" s="618"/>
      <c r="K17" s="711"/>
      <c r="N17" s="134"/>
    </row>
    <row r="18" spans="2:14" s="2" customFormat="1">
      <c r="B18" s="12" t="s">
        <v>327</v>
      </c>
      <c r="C18" s="220" t="str">
        <f>'RFPR cover'!$C$14</f>
        <v>£m 12/13</v>
      </c>
      <c r="D18" s="742">
        <f>SUM(D16:D17)</f>
        <v>1206.7009697943779</v>
      </c>
      <c r="E18" s="743">
        <f t="shared" ref="E18:K18" si="2">SUM(E16:E17)</f>
        <v>1265.4860531644608</v>
      </c>
      <c r="F18" s="743">
        <f t="shared" si="2"/>
        <v>1328.1379138961815</v>
      </c>
      <c r="G18" s="743">
        <f t="shared" si="2"/>
        <v>1373.4860415243022</v>
      </c>
      <c r="H18" s="743">
        <f t="shared" si="2"/>
        <v>1422.0141965056339</v>
      </c>
      <c r="I18" s="743">
        <f t="shared" si="2"/>
        <v>1472.3843059740182</v>
      </c>
      <c r="J18" s="743">
        <f t="shared" si="2"/>
        <v>1522.5286343417717</v>
      </c>
      <c r="K18" s="744">
        <f t="shared" si="2"/>
        <v>1582.5491984394969</v>
      </c>
      <c r="N18" s="134"/>
    </row>
    <row r="19" spans="2:14" s="2" customFormat="1">
      <c r="B19" s="418" t="s">
        <v>328</v>
      </c>
      <c r="C19" s="220" t="str">
        <f>'RFPR cover'!$C$14</f>
        <v>£m 12/13</v>
      </c>
      <c r="D19" s="613">
        <v>170.72268321246986</v>
      </c>
      <c r="E19" s="613">
        <v>178.25128778574185</v>
      </c>
      <c r="F19" s="613">
        <v>168.40166746665219</v>
      </c>
      <c r="G19" s="613">
        <v>171.54717378151341</v>
      </c>
      <c r="H19" s="613">
        <v>168.88279111322584</v>
      </c>
      <c r="I19" s="613">
        <v>168.28909611501064</v>
      </c>
      <c r="J19" s="613">
        <v>166.15516616843928</v>
      </c>
      <c r="K19" s="613">
        <v>172.29965958392327</v>
      </c>
      <c r="N19" s="134"/>
    </row>
    <row r="20" spans="2:14" s="2" customFormat="1">
      <c r="B20" s="418" t="s">
        <v>335</v>
      </c>
      <c r="C20" s="220" t="str">
        <f>'RFPR cover'!$C$14</f>
        <v>£m 12/13</v>
      </c>
      <c r="D20" s="617">
        <v>0</v>
      </c>
      <c r="E20" s="617">
        <v>0</v>
      </c>
      <c r="F20" s="617">
        <v>-4.9004952334883338</v>
      </c>
      <c r="G20" s="617">
        <v>-3.6986580753770273</v>
      </c>
      <c r="H20" s="617">
        <v>1.8097263313609468</v>
      </c>
      <c r="I20" s="617">
        <v>2.9443185466569362</v>
      </c>
      <c r="J20" s="617">
        <v>3.2567985030062241</v>
      </c>
      <c r="K20" s="617">
        <v>1.2363901670139648</v>
      </c>
      <c r="N20" s="134"/>
    </row>
    <row r="21" spans="2:14" s="2" customFormat="1">
      <c r="B21" s="417" t="s">
        <v>331</v>
      </c>
      <c r="C21" s="220" t="str">
        <f>'RFPR cover'!$C$14</f>
        <v>£m 12/13</v>
      </c>
      <c r="D21" s="742">
        <f t="shared" ref="D21:K21" si="3">SUM(D19:D20)</f>
        <v>170.72268321246986</v>
      </c>
      <c r="E21" s="743">
        <f t="shared" si="3"/>
        <v>178.25128778574185</v>
      </c>
      <c r="F21" s="743">
        <f t="shared" si="3"/>
        <v>163.50117223316386</v>
      </c>
      <c r="G21" s="743">
        <f t="shared" si="3"/>
        <v>167.84851570613637</v>
      </c>
      <c r="H21" s="743">
        <f t="shared" si="3"/>
        <v>170.69251744458677</v>
      </c>
      <c r="I21" s="743">
        <f t="shared" si="3"/>
        <v>171.23341466166758</v>
      </c>
      <c r="J21" s="743">
        <f t="shared" si="3"/>
        <v>169.4119646714455</v>
      </c>
      <c r="K21" s="744">
        <f t="shared" si="3"/>
        <v>173.53604975093722</v>
      </c>
      <c r="N21" s="134"/>
    </row>
    <row r="22" spans="2:14" s="2" customFormat="1">
      <c r="B22" s="418" t="s">
        <v>329</v>
      </c>
      <c r="C22" s="220" t="str">
        <f>'RFPR cover'!$C$14</f>
        <v>£m 12/13</v>
      </c>
      <c r="D22" s="613">
        <v>-111.93759984238713</v>
      </c>
      <c r="E22" s="613">
        <v>-115.59942705402113</v>
      </c>
      <c r="F22" s="613">
        <v>-118.15304460504305</v>
      </c>
      <c r="G22" s="613">
        <v>-119.48718678997666</v>
      </c>
      <c r="H22" s="613">
        <v>-120.43354945873425</v>
      </c>
      <c r="I22" s="613">
        <v>-121.14942844082871</v>
      </c>
      <c r="J22" s="613">
        <v>-109.37576030652784</v>
      </c>
      <c r="K22" s="613">
        <v>-109.26382153088115</v>
      </c>
      <c r="N22" s="134"/>
    </row>
    <row r="23" spans="2:14" s="2" customFormat="1">
      <c r="B23" s="418" t="s">
        <v>330</v>
      </c>
      <c r="C23" s="220" t="str">
        <f>'RFPR cover'!$C$14</f>
        <v>£m 12/13</v>
      </c>
      <c r="D23" s="617">
        <v>0</v>
      </c>
      <c r="E23" s="617">
        <v>0</v>
      </c>
      <c r="F23" s="617">
        <v>0</v>
      </c>
      <c r="G23" s="617">
        <v>0.16682606517188958</v>
      </c>
      <c r="H23" s="617">
        <v>0.11114148253186329</v>
      </c>
      <c r="I23" s="617">
        <v>6.034214691473494E-2</v>
      </c>
      <c r="J23" s="617">
        <v>-1.564026719255196E-2</v>
      </c>
      <c r="K23" s="617">
        <v>-9.3414559801644259E-2</v>
      </c>
      <c r="N23" s="134"/>
    </row>
    <row r="24" spans="2:14" s="2" customFormat="1">
      <c r="B24" s="417" t="s">
        <v>332</v>
      </c>
      <c r="C24" s="220" t="str">
        <f>'RFPR cover'!$C$14</f>
        <v>£m 12/13</v>
      </c>
      <c r="D24" s="742">
        <f t="shared" ref="D24:K24" si="4">SUM(D22:D23)</f>
        <v>-111.93759984238713</v>
      </c>
      <c r="E24" s="743">
        <f t="shared" si="4"/>
        <v>-115.59942705402113</v>
      </c>
      <c r="F24" s="743">
        <f t="shared" si="4"/>
        <v>-118.15304460504305</v>
      </c>
      <c r="G24" s="743">
        <f t="shared" si="4"/>
        <v>-119.32036072480477</v>
      </c>
      <c r="H24" s="743">
        <f t="shared" si="4"/>
        <v>-120.32240797620238</v>
      </c>
      <c r="I24" s="743">
        <f t="shared" si="4"/>
        <v>-121.08908629391398</v>
      </c>
      <c r="J24" s="743">
        <f t="shared" si="4"/>
        <v>-109.39140057372039</v>
      </c>
      <c r="K24" s="744">
        <f t="shared" si="4"/>
        <v>-109.35723609068279</v>
      </c>
      <c r="N24" s="134"/>
    </row>
    <row r="25" spans="2:14" s="2" customFormat="1">
      <c r="B25" s="419" t="s">
        <v>268</v>
      </c>
      <c r="C25" s="220" t="str">
        <f>'RFPR cover'!$C$14</f>
        <v>£m 12/13</v>
      </c>
      <c r="D25" s="745"/>
      <c r="E25" s="746"/>
      <c r="F25" s="746"/>
      <c r="G25" s="746"/>
      <c r="H25" s="746"/>
      <c r="I25" s="746"/>
      <c r="J25" s="746"/>
      <c r="K25" s="747"/>
      <c r="N25" s="134"/>
    </row>
    <row r="26" spans="2:14" s="2" customFormat="1">
      <c r="B26" s="419" t="s">
        <v>268</v>
      </c>
      <c r="C26" s="220" t="str">
        <f>'RFPR cover'!$C$14</f>
        <v>£m 12/13</v>
      </c>
      <c r="D26" s="745"/>
      <c r="E26" s="746"/>
      <c r="F26" s="746"/>
      <c r="G26" s="746"/>
      <c r="H26" s="746"/>
      <c r="I26" s="746"/>
      <c r="J26" s="746"/>
      <c r="K26" s="747"/>
      <c r="N26" s="134"/>
    </row>
    <row r="27" spans="2:14" s="2" customFormat="1">
      <c r="B27" s="419" t="s">
        <v>268</v>
      </c>
      <c r="C27" s="220" t="str">
        <f>'RFPR cover'!$C$14</f>
        <v>£m 12/13</v>
      </c>
      <c r="D27" s="745"/>
      <c r="E27" s="746"/>
      <c r="F27" s="746"/>
      <c r="G27" s="746"/>
      <c r="H27" s="746"/>
      <c r="I27" s="746"/>
      <c r="J27" s="746"/>
      <c r="K27" s="747"/>
      <c r="N27" s="134"/>
    </row>
    <row r="28" spans="2:14" s="2" customFormat="1">
      <c r="B28" s="417" t="s">
        <v>333</v>
      </c>
      <c r="C28" s="220" t="str">
        <f>'RFPR cover'!$C$14</f>
        <v>£m 12/13</v>
      </c>
      <c r="D28" s="748">
        <f>SUM(D25:D27)</f>
        <v>0</v>
      </c>
      <c r="E28" s="749">
        <f t="shared" ref="E28:K28" si="5">SUM(E25:E27)</f>
        <v>0</v>
      </c>
      <c r="F28" s="749">
        <f t="shared" si="5"/>
        <v>0</v>
      </c>
      <c r="G28" s="749">
        <f t="shared" si="5"/>
        <v>0</v>
      </c>
      <c r="H28" s="749">
        <f t="shared" si="5"/>
        <v>0</v>
      </c>
      <c r="I28" s="749">
        <f t="shared" si="5"/>
        <v>0</v>
      </c>
      <c r="J28" s="749">
        <f t="shared" si="5"/>
        <v>0</v>
      </c>
      <c r="K28" s="750">
        <f t="shared" si="5"/>
        <v>0</v>
      </c>
      <c r="N28" s="134"/>
    </row>
    <row r="29" spans="2:14" s="2" customFormat="1">
      <c r="B29" s="12" t="s">
        <v>334</v>
      </c>
      <c r="C29" s="220" t="str">
        <f>'RFPR cover'!$C$14</f>
        <v>£m 12/13</v>
      </c>
      <c r="D29" s="751">
        <f>D18+D21+D24+D28</f>
        <v>1265.4860531644608</v>
      </c>
      <c r="E29" s="752">
        <f t="shared" ref="E29:K29" si="6">E18+E21+E24+E28</f>
        <v>1328.1379138961815</v>
      </c>
      <c r="F29" s="752">
        <f t="shared" si="6"/>
        <v>1373.4860415243022</v>
      </c>
      <c r="G29" s="752">
        <f t="shared" si="6"/>
        <v>1422.0141965056339</v>
      </c>
      <c r="H29" s="752">
        <f t="shared" si="6"/>
        <v>1472.3843059740182</v>
      </c>
      <c r="I29" s="752">
        <f t="shared" si="6"/>
        <v>1522.5286343417717</v>
      </c>
      <c r="J29" s="752">
        <f t="shared" si="6"/>
        <v>1582.5491984394969</v>
      </c>
      <c r="K29" s="753">
        <f t="shared" si="6"/>
        <v>1646.7280120997514</v>
      </c>
      <c r="N29" s="134"/>
    </row>
    <row r="30" spans="2:14" s="2" customFormat="1">
      <c r="B30" s="12"/>
      <c r="C30" s="220"/>
      <c r="D30" s="220"/>
      <c r="E30" s="220"/>
      <c r="F30" s="220"/>
      <c r="G30" s="220"/>
      <c r="H30" s="220"/>
      <c r="I30" s="220"/>
      <c r="J30" s="220"/>
      <c r="K30" s="220"/>
      <c r="L30" s="220"/>
      <c r="N30" s="134"/>
    </row>
    <row r="31" spans="2:14" s="2" customFormat="1">
      <c r="B31" s="12" t="s">
        <v>513</v>
      </c>
      <c r="C31" s="220" t="str">
        <f>'RFPR cover'!$C$14</f>
        <v>£m 12/13</v>
      </c>
      <c r="D31" s="751">
        <f t="shared" ref="D31:K31" si="7">(D20+D23+D28)</f>
        <v>0</v>
      </c>
      <c r="E31" s="751">
        <f t="shared" si="7"/>
        <v>0</v>
      </c>
      <c r="F31" s="751">
        <f t="shared" si="7"/>
        <v>-4.9004952334883338</v>
      </c>
      <c r="G31" s="751">
        <f t="shared" si="7"/>
        <v>-3.5318320102051377</v>
      </c>
      <c r="H31" s="751">
        <f t="shared" si="7"/>
        <v>1.9208678138928101</v>
      </c>
      <c r="I31" s="751">
        <f t="shared" si="7"/>
        <v>3.0046606935716711</v>
      </c>
      <c r="J31" s="751">
        <f t="shared" si="7"/>
        <v>3.2411582358136721</v>
      </c>
      <c r="K31" s="751">
        <f t="shared" si="7"/>
        <v>1.1429756072123205</v>
      </c>
      <c r="L31" s="220"/>
      <c r="N31" s="134"/>
    </row>
    <row r="32" spans="2:14" s="2" customFormat="1">
      <c r="B32" s="12" t="s">
        <v>514</v>
      </c>
      <c r="C32" s="220"/>
      <c r="D32" s="541" t="b">
        <f>IF(D5="Actuals",IF(D31&gt;=0,(D29-SUM($D$31:D31))-D11&lt;'RFPR cover'!$F$14,(D29-SUM($D$31:D31))-D11&lt;'RFPR cover'!$F$14), "NA")</f>
        <v>1</v>
      </c>
      <c r="E32" s="541" t="b">
        <f>IF(E5="Actuals",IF(E31&gt;=0,(E29-SUM($D$31:E31))-E11&lt;'RFPR cover'!$F$14,(E29-SUM($D$31:E31))-E11&lt;'RFPR cover'!$F$14), "NA")</f>
        <v>1</v>
      </c>
      <c r="F32" s="541" t="b">
        <f>IF(F5="Actuals",IF(F31&gt;=0,(F29-SUM($D$31:F31))-F11&lt;'RFPR cover'!$F$14,(F29-SUM($D$31:F31))-F11&lt;'RFPR cover'!$F$14), "NA")</f>
        <v>1</v>
      </c>
      <c r="G32" s="541" t="b">
        <f>IF(G5="Actuals",IF(G31&gt;=0,(G29-SUM($D$31:G31))-G11&lt;'RFPR cover'!$F$14,(G29-SUM($D$31:G31))-G11&lt;'RFPR cover'!$F$14), "NA")</f>
        <v>1</v>
      </c>
      <c r="H32" s="541" t="str">
        <f>IF(H5="Actuals",IF(H31&gt;=0,(H29-SUM($D$31:H31))-H11&lt;'RFPR cover'!$F$14,(H29-SUM($D$31:H31))-H11&lt;'RFPR cover'!$F$14), "NA")</f>
        <v>NA</v>
      </c>
      <c r="I32" s="541" t="str">
        <f>IF(I5="Actuals",IF(I31&gt;=0,(I29-SUM($D$31:I31))-I11&lt;'RFPR cover'!$F$14,(I29-SUM($D$31:I31))-I11&lt;'RFPR cover'!$F$14), "NA")</f>
        <v>NA</v>
      </c>
      <c r="J32" s="541" t="str">
        <f>IF(J5="Actuals",IF(J31&gt;=0,(J29-SUM($D$31:J31))-J11&lt;'RFPR cover'!$F$14,(J29-SUM($D$31:J31))-J11&lt;'RFPR cover'!$F$14), "NA")</f>
        <v>NA</v>
      </c>
      <c r="K32" s="541" t="str">
        <f>IF(K5="Actuals",IF(K31&gt;=0,(K29-SUM($D$31:K31))-K11&lt;'RFPR cover'!$F$14,(K29-SUM($D$31:K31))-K11&lt;'RFPR cover'!$F$14), "NA")</f>
        <v>NA</v>
      </c>
      <c r="L32" s="220"/>
      <c r="N32" s="134"/>
    </row>
    <row r="33" spans="2:14" s="36" customFormat="1">
      <c r="B33" s="52"/>
      <c r="C33" s="503"/>
      <c r="D33" s="504"/>
      <c r="E33" s="504"/>
      <c r="F33" s="504"/>
      <c r="G33" s="504"/>
      <c r="H33" s="504"/>
      <c r="I33" s="504"/>
      <c r="J33" s="504"/>
      <c r="K33" s="504"/>
      <c r="N33" s="235"/>
    </row>
    <row r="34" spans="2:14" s="36" customFormat="1">
      <c r="B34" s="52" t="s">
        <v>42</v>
      </c>
      <c r="C34" s="281" t="s">
        <v>127</v>
      </c>
      <c r="D34" s="114">
        <f>Data!C$35</f>
        <v>1.0677429242873198</v>
      </c>
      <c r="E34" s="114">
        <f>Data!D$35</f>
        <v>1.1033002963114336</v>
      </c>
      <c r="F34" s="114">
        <f>Data!E$35</f>
        <v>1.1402881373250229</v>
      </c>
      <c r="G34" s="114">
        <f>Data!F$35</f>
        <v>1.171554102380709</v>
      </c>
      <c r="H34" s="114">
        <f>Data!G$35</f>
        <v>1.2023073975682026</v>
      </c>
      <c r="I34" s="114">
        <f>Data!H$35</f>
        <v>1.2356714278507201</v>
      </c>
      <c r="J34" s="114">
        <f>Data!I$35</f>
        <v>1.2730504885432044</v>
      </c>
      <c r="K34" s="114">
        <f>Data!J$35</f>
        <v>1.312196791065908</v>
      </c>
      <c r="N34" s="235"/>
    </row>
    <row r="35" spans="2:14" s="32" customFormat="1">
      <c r="B35" s="38" t="s">
        <v>377</v>
      </c>
      <c r="C35" s="281" t="s">
        <v>127</v>
      </c>
      <c r="D35" s="114">
        <f>Data!C$34</f>
        <v>1.0603167467048125</v>
      </c>
      <c r="E35" s="115">
        <f>Data!D$34</f>
        <v>1.0830366813119445</v>
      </c>
      <c r="F35" s="115">
        <f>Data!E$34</f>
        <v>1.1235639113109226</v>
      </c>
      <c r="G35" s="115">
        <f>Data!F$34</f>
        <v>1.1578951670583426</v>
      </c>
      <c r="H35" s="115">
        <f>Data!G$34</f>
        <v>1.1882899151936241</v>
      </c>
      <c r="I35" s="115">
        <f>Data!H$34</f>
        <v>1.2212649603402472</v>
      </c>
      <c r="J35" s="115">
        <f>Data!I$34</f>
        <v>1.2582082253905398</v>
      </c>
      <c r="K35" s="116">
        <f>Data!J$34</f>
        <v>1.296898128321299</v>
      </c>
      <c r="L35" s="244"/>
      <c r="N35" s="222"/>
    </row>
    <row r="36" spans="2:14" s="32" customFormat="1">
      <c r="B36" s="180" t="s">
        <v>511</v>
      </c>
      <c r="C36" s="281" t="s">
        <v>127</v>
      </c>
      <c r="D36" s="896">
        <f>INDEX(Data!$F$14:$F$30,MATCH($D$6-1,Data!$C$14:$C$30,0),0)/IF('RFPR cover'!$C$6="ED1",Data!$E$17,Data!$E$14)</f>
        <v>1.0526208235414325</v>
      </c>
      <c r="E36" s="897"/>
      <c r="F36" s="897"/>
      <c r="G36" s="897"/>
      <c r="H36" s="897"/>
      <c r="I36" s="897"/>
      <c r="J36" s="897"/>
      <c r="K36" s="897"/>
      <c r="L36" s="244"/>
      <c r="N36" s="222"/>
    </row>
    <row r="37" spans="2:14" s="36" customFormat="1">
      <c r="B37" s="52"/>
      <c r="C37" s="503"/>
      <c r="D37" s="504"/>
      <c r="E37" s="504"/>
      <c r="F37" s="504"/>
      <c r="G37" s="504"/>
      <c r="H37" s="504"/>
      <c r="I37" s="504"/>
      <c r="J37" s="504"/>
      <c r="K37" s="504"/>
      <c r="N37" s="235"/>
    </row>
    <row r="38" spans="2:14" s="2" customFormat="1">
      <c r="B38" s="12" t="s">
        <v>334</v>
      </c>
      <c r="C38" s="280" t="s">
        <v>128</v>
      </c>
      <c r="D38" s="751">
        <f t="shared" ref="D38:K38" si="8">D29*D34</f>
        <v>1351.2137790506399</v>
      </c>
      <c r="E38" s="751">
        <f t="shared" si="8"/>
        <v>1465.3349539441062</v>
      </c>
      <c r="F38" s="751">
        <f t="shared" si="8"/>
        <v>1566.1698399316656</v>
      </c>
      <c r="G38" s="751">
        <f t="shared" si="8"/>
        <v>1665.966565559783</v>
      </c>
      <c r="H38" s="751">
        <f t="shared" si="8"/>
        <v>1770.2585431358859</v>
      </c>
      <c r="I38" s="751">
        <f t="shared" si="8"/>
        <v>1881.3451315407042</v>
      </c>
      <c r="J38" s="751">
        <f t="shared" si="8"/>
        <v>2014.6650302170578</v>
      </c>
      <c r="K38" s="751">
        <f t="shared" si="8"/>
        <v>2160.8312132356355</v>
      </c>
      <c r="N38" s="134"/>
    </row>
    <row r="39" spans="2:14" s="2" customFormat="1">
      <c r="B39" s="12"/>
      <c r="C39" s="220"/>
      <c r="D39" s="220"/>
      <c r="E39" s="220"/>
      <c r="F39" s="220"/>
      <c r="G39" s="220"/>
      <c r="H39" s="220"/>
      <c r="I39" s="220"/>
      <c r="J39" s="220"/>
      <c r="K39" s="220"/>
      <c r="N39" s="134"/>
    </row>
    <row r="40" spans="2:14" s="2" customFormat="1">
      <c r="B40" s="532" t="s">
        <v>337</v>
      </c>
      <c r="C40" s="220" t="s">
        <v>340</v>
      </c>
      <c r="D40" s="434">
        <f>INDEX(Data!$K$73:$T$100,MATCH('RFPR cover'!$C$5,Data!$B$73:$B$100,0),MATCH('R9 - RAV'!D$6,Data!$K$72:$T$72,0))</f>
        <v>2.5499999999999998E-2</v>
      </c>
      <c r="E40" s="435">
        <f>INDEX(Data!$K$73:$T$100,MATCH('RFPR cover'!$C$5,Data!$B$73:$B$100,0),MATCH('R9 - RAV'!E$6,Data!$K$72:$T$72,0))</f>
        <v>2.3799999999999998E-2</v>
      </c>
      <c r="F40" s="435">
        <f>INDEX(Data!$K$73:$T$100,MATCH('RFPR cover'!$C$5,Data!$B$73:$B$100,0),MATCH('R9 - RAV'!F$6,Data!$K$72:$T$72,0))</f>
        <v>2.2200000000000001E-2</v>
      </c>
      <c r="G40" s="435">
        <f>INDEX(Data!$K$73:$T$100,MATCH('RFPR cover'!$C$5,Data!$B$73:$B$100,0),MATCH('R9 - RAV'!G$6,Data!$K$72:$T$72,0))</f>
        <v>1.9099999999999999E-2</v>
      </c>
      <c r="H40" s="435">
        <f>INDEX(Data!$K$73:$T$100,MATCH('RFPR cover'!$C$5,Data!$B$73:$B$100,0),MATCH('R9 - RAV'!H$6,Data!$K$72:$T$72,0))</f>
        <v>1.5800000000000002E-2</v>
      </c>
      <c r="I40" s="435">
        <f>INDEX(Data!$K$73:$T$100,MATCH('RFPR cover'!$C$5,Data!$B$73:$B$100,0),MATCH('R9 - RAV'!I$6,Data!$K$72:$T$72,0))</f>
        <v>1.1399999999999999E-2</v>
      </c>
      <c r="J40" s="435">
        <f>INDEX(Data!$K$73:$T$100,MATCH('RFPR cover'!$C$5,Data!$B$73:$B$100,0),MATCH('R9 - RAV'!J$6,Data!$K$72:$T$72,0))</f>
        <v>9.1999999999999998E-3</v>
      </c>
      <c r="K40" s="436">
        <f>INDEX(Data!$K$73:$T$100,MATCH('RFPR cover'!$C$5,Data!$B$73:$B$100,0),MATCH('R9 - RAV'!K$6,Data!$K$72:$T$72,0))</f>
        <v>7.1999999999999998E-3</v>
      </c>
      <c r="N40" s="134"/>
    </row>
    <row r="41" spans="2:14" s="2" customFormat="1">
      <c r="B41" s="532" t="s">
        <v>338</v>
      </c>
      <c r="C41" s="220" t="s">
        <v>340</v>
      </c>
      <c r="D41" s="437">
        <f>'RFPR cover'!$C$10</f>
        <v>6.4000000000000001E-2</v>
      </c>
      <c r="E41" s="438">
        <f>'RFPR cover'!$C$10</f>
        <v>6.4000000000000001E-2</v>
      </c>
      <c r="F41" s="438">
        <f>'RFPR cover'!$C$10</f>
        <v>6.4000000000000001E-2</v>
      </c>
      <c r="G41" s="438">
        <f>'RFPR cover'!$C$10</f>
        <v>6.4000000000000001E-2</v>
      </c>
      <c r="H41" s="438">
        <f>'RFPR cover'!$C$10</f>
        <v>6.4000000000000001E-2</v>
      </c>
      <c r="I41" s="438">
        <f>'RFPR cover'!$C$10</f>
        <v>6.4000000000000001E-2</v>
      </c>
      <c r="J41" s="438">
        <f>'RFPR cover'!$C$10</f>
        <v>6.4000000000000001E-2</v>
      </c>
      <c r="K41" s="439">
        <f>'RFPR cover'!$C$10</f>
        <v>6.4000000000000001E-2</v>
      </c>
      <c r="N41" s="134"/>
    </row>
    <row r="42" spans="2:14" s="2" customFormat="1">
      <c r="B42" s="532" t="s">
        <v>339</v>
      </c>
      <c r="C42" s="220" t="s">
        <v>7</v>
      </c>
      <c r="D42" s="440">
        <f>'RFPR cover'!$C$12</f>
        <v>0.65</v>
      </c>
      <c r="E42" s="441">
        <f>'RFPR cover'!$C$12</f>
        <v>0.65</v>
      </c>
      <c r="F42" s="441">
        <f>'RFPR cover'!$C$12</f>
        <v>0.65</v>
      </c>
      <c r="G42" s="441">
        <f>'RFPR cover'!$C$12</f>
        <v>0.65</v>
      </c>
      <c r="H42" s="441">
        <f>'RFPR cover'!$C$12</f>
        <v>0.65</v>
      </c>
      <c r="I42" s="441">
        <f>'RFPR cover'!$C$12</f>
        <v>0.65</v>
      </c>
      <c r="J42" s="441">
        <f>'RFPR cover'!$C$12</f>
        <v>0.65</v>
      </c>
      <c r="K42" s="442">
        <f>'RFPR cover'!$C$12</f>
        <v>0.65</v>
      </c>
      <c r="N42" s="134"/>
    </row>
    <row r="43" spans="2:14">
      <c r="B43" s="210" t="s">
        <v>273</v>
      </c>
      <c r="C43" s="420" t="s">
        <v>340</v>
      </c>
      <c r="D43" s="431">
        <f t="shared" ref="D43:K43" si="9">D40*D42+D41*(1-D42)</f>
        <v>3.8974999999999996E-2</v>
      </c>
      <c r="E43" s="432">
        <f t="shared" si="9"/>
        <v>3.7870000000000001E-2</v>
      </c>
      <c r="F43" s="432">
        <f t="shared" si="9"/>
        <v>3.6830000000000002E-2</v>
      </c>
      <c r="G43" s="432">
        <f t="shared" si="9"/>
        <v>3.4814999999999999E-2</v>
      </c>
      <c r="H43" s="432">
        <f t="shared" si="9"/>
        <v>3.2670000000000005E-2</v>
      </c>
      <c r="I43" s="432">
        <f t="shared" si="9"/>
        <v>2.981E-2</v>
      </c>
      <c r="J43" s="432">
        <f t="shared" si="9"/>
        <v>2.8379999999999999E-2</v>
      </c>
      <c r="K43" s="433">
        <f t="shared" si="9"/>
        <v>2.708E-2</v>
      </c>
      <c r="L43" s="221"/>
    </row>
    <row r="44" spans="2:14">
      <c r="C44" s="233"/>
      <c r="D44" s="228"/>
      <c r="E44" s="228"/>
      <c r="F44" s="228"/>
      <c r="G44" s="228"/>
      <c r="H44" s="228"/>
      <c r="I44" s="228"/>
      <c r="J44" s="228"/>
      <c r="K44" s="228"/>
    </row>
    <row r="45" spans="2:14">
      <c r="B45" s="392" t="s">
        <v>341</v>
      </c>
      <c r="C45" s="420" t="str">
        <f>'RFPR cover'!$C$14</f>
        <v>£m 12/13</v>
      </c>
      <c r="D45" s="97">
        <f t="shared" ref="D45:K45" si="10">D47*D42</f>
        <v>788.03235189334362</v>
      </c>
      <c r="E45" s="98">
        <f t="shared" si="10"/>
        <v>827.17785008290423</v>
      </c>
      <c r="F45" s="98">
        <f t="shared" si="10"/>
        <v>862.17148838914397</v>
      </c>
      <c r="G45" s="98">
        <f t="shared" si="10"/>
        <v>892.98898859585677</v>
      </c>
      <c r="H45" s="98">
        <f t="shared" si="10"/>
        <v>925.54069019225369</v>
      </c>
      <c r="I45" s="98">
        <f t="shared" si="10"/>
        <v>959.02305556848796</v>
      </c>
      <c r="J45" s="98">
        <f t="shared" si="10"/>
        <v>994.95647378669719</v>
      </c>
      <c r="K45" s="99">
        <f t="shared" si="10"/>
        <v>1035.4043588821919</v>
      </c>
    </row>
    <row r="46" spans="2:14">
      <c r="B46" s="392" t="s">
        <v>232</v>
      </c>
      <c r="C46" s="420" t="str">
        <f>'RFPR cover'!$C$14</f>
        <v>£m 12/13</v>
      </c>
      <c r="D46" s="546">
        <f t="shared" ref="D46:K46" si="11">D47*(1-D42)</f>
        <v>424.32511255795418</v>
      </c>
      <c r="E46" s="547">
        <f t="shared" si="11"/>
        <v>445.40345773694838</v>
      </c>
      <c r="F46" s="547">
        <f t="shared" si="11"/>
        <v>464.24618605569287</v>
      </c>
      <c r="G46" s="547">
        <f t="shared" si="11"/>
        <v>480.84022462853824</v>
      </c>
      <c r="H46" s="547">
        <f t="shared" si="11"/>
        <v>498.36806394967505</v>
      </c>
      <c r="I46" s="547">
        <f t="shared" si="11"/>
        <v>516.39702992149341</v>
      </c>
      <c r="J46" s="547">
        <f t="shared" si="11"/>
        <v>535.74579357745233</v>
      </c>
      <c r="K46" s="548">
        <f t="shared" si="11"/>
        <v>557.52542401348796</v>
      </c>
    </row>
    <row r="47" spans="2:14">
      <c r="B47" s="210" t="s">
        <v>231</v>
      </c>
      <c r="C47" s="220" t="str">
        <f>'RFPR cover'!$C$14</f>
        <v>£m 12/13</v>
      </c>
      <c r="D47" s="104">
        <f t="shared" ref="D47:K47" si="12">AVERAGE(D16,D29*(1/(1+D43)))</f>
        <v>1212.3574644512978</v>
      </c>
      <c r="E47" s="105">
        <f t="shared" si="12"/>
        <v>1272.5813078198526</v>
      </c>
      <c r="F47" s="105">
        <f t="shared" si="12"/>
        <v>1326.4176744448368</v>
      </c>
      <c r="G47" s="105">
        <f t="shared" si="12"/>
        <v>1373.8292132243951</v>
      </c>
      <c r="H47" s="105">
        <f t="shared" si="12"/>
        <v>1423.9087541419287</v>
      </c>
      <c r="I47" s="105">
        <f t="shared" si="12"/>
        <v>1475.4200854899814</v>
      </c>
      <c r="J47" s="105">
        <f t="shared" si="12"/>
        <v>1530.7022673641495</v>
      </c>
      <c r="K47" s="106">
        <f t="shared" si="12"/>
        <v>1592.9297828956799</v>
      </c>
      <c r="N47" s="224"/>
    </row>
    <row r="48" spans="2:14">
      <c r="B48" s="210"/>
      <c r="C48" s="220"/>
      <c r="D48" s="220"/>
      <c r="E48" s="220"/>
      <c r="F48" s="220"/>
      <c r="G48" s="220"/>
      <c r="H48" s="220"/>
      <c r="I48" s="220"/>
      <c r="J48" s="220"/>
      <c r="K48" s="220"/>
      <c r="N48" s="224"/>
    </row>
    <row r="49" spans="2:14">
      <c r="B49" s="392" t="s">
        <v>342</v>
      </c>
      <c r="C49" s="420" t="str">
        <f>'RFPR cover'!$C$14</f>
        <v>£m 12/13</v>
      </c>
      <c r="D49" s="754">
        <f>D40*D45</f>
        <v>20.094824973280261</v>
      </c>
      <c r="E49" s="755">
        <f t="shared" ref="D49:K50" si="13">E40*E45</f>
        <v>19.686832831973121</v>
      </c>
      <c r="F49" s="755">
        <f t="shared" si="13"/>
        <v>19.140207042238998</v>
      </c>
      <c r="G49" s="755">
        <f t="shared" si="13"/>
        <v>17.056089682180865</v>
      </c>
      <c r="H49" s="755">
        <f t="shared" si="13"/>
        <v>14.62354290503761</v>
      </c>
      <c r="I49" s="755">
        <f t="shared" si="13"/>
        <v>10.932862833480762</v>
      </c>
      <c r="J49" s="755">
        <f t="shared" si="13"/>
        <v>9.1535995588376142</v>
      </c>
      <c r="K49" s="756">
        <f t="shared" si="13"/>
        <v>7.4549113839517815</v>
      </c>
    </row>
    <row r="50" spans="2:14">
      <c r="B50" s="392" t="s">
        <v>229</v>
      </c>
      <c r="C50" s="420" t="str">
        <f>'RFPR cover'!$C$14</f>
        <v>£m 12/13</v>
      </c>
      <c r="D50" s="94">
        <f t="shared" si="13"/>
        <v>27.156807203709068</v>
      </c>
      <c r="E50" s="95">
        <f t="shared" si="13"/>
        <v>28.505821295164697</v>
      </c>
      <c r="F50" s="95">
        <f t="shared" si="13"/>
        <v>29.711755907564346</v>
      </c>
      <c r="G50" s="95">
        <f t="shared" si="13"/>
        <v>30.773774376226449</v>
      </c>
      <c r="H50" s="95">
        <f t="shared" si="13"/>
        <v>31.895556092779202</v>
      </c>
      <c r="I50" s="95">
        <f t="shared" si="13"/>
        <v>33.049409914975577</v>
      </c>
      <c r="J50" s="95">
        <f t="shared" si="13"/>
        <v>34.287730788956949</v>
      </c>
      <c r="K50" s="96">
        <f t="shared" si="13"/>
        <v>35.681627136863227</v>
      </c>
      <c r="N50" s="224"/>
    </row>
    <row r="51" spans="2:14">
      <c r="B51" s="210" t="s">
        <v>344</v>
      </c>
      <c r="C51" s="420" t="str">
        <f>'RFPR cover'!$C$14</f>
        <v>£m 12/13</v>
      </c>
      <c r="D51" s="104">
        <f>SUM(D49:D50)</f>
        <v>47.251632176989332</v>
      </c>
      <c r="E51" s="105">
        <f t="shared" ref="E51:K51" si="14">SUM(E49:E50)</f>
        <v>48.192654127137814</v>
      </c>
      <c r="F51" s="105">
        <f t="shared" si="14"/>
        <v>48.851962949803344</v>
      </c>
      <c r="G51" s="105">
        <f t="shared" si="14"/>
        <v>47.82986405840731</v>
      </c>
      <c r="H51" s="105">
        <f t="shared" si="14"/>
        <v>46.519098997816812</v>
      </c>
      <c r="I51" s="105">
        <f t="shared" si="14"/>
        <v>43.982272748456339</v>
      </c>
      <c r="J51" s="105">
        <f t="shared" si="14"/>
        <v>43.441330347794562</v>
      </c>
      <c r="K51" s="106">
        <f t="shared" si="14"/>
        <v>43.136538520815009</v>
      </c>
      <c r="N51" s="224"/>
    </row>
    <row r="53" spans="2:14" s="32" customFormat="1">
      <c r="B53" s="392" t="s">
        <v>341</v>
      </c>
      <c r="C53" s="280" t="s">
        <v>128</v>
      </c>
      <c r="D53" s="97">
        <f t="shared" ref="D53:K54" si="15">D$35*D45</f>
        <v>835.5638996576921</v>
      </c>
      <c r="E53" s="98">
        <f t="shared" si="15"/>
        <v>895.86395360853783</v>
      </c>
      <c r="F53" s="98">
        <f t="shared" si="15"/>
        <v>968.70476971526625</v>
      </c>
      <c r="G53" s="98">
        <f t="shared" si="15"/>
        <v>1033.98763413146</v>
      </c>
      <c r="H53" s="98">
        <f t="shared" si="15"/>
        <v>1099.8106682568016</v>
      </c>
      <c r="I53" s="98">
        <f t="shared" si="15"/>
        <v>1171.2212539242321</v>
      </c>
      <c r="J53" s="98">
        <f t="shared" si="15"/>
        <v>1251.8624192239895</v>
      </c>
      <c r="K53" s="99">
        <f t="shared" si="15"/>
        <v>1342.8139750900293</v>
      </c>
      <c r="L53" s="244"/>
      <c r="N53" s="222"/>
    </row>
    <row r="54" spans="2:14" s="32" customFormat="1">
      <c r="B54" s="392" t="s">
        <v>232</v>
      </c>
      <c r="C54" s="280" t="s">
        <v>128</v>
      </c>
      <c r="D54" s="546">
        <f t="shared" si="15"/>
        <v>449.91902289260332</v>
      </c>
      <c r="E54" s="547">
        <f t="shared" si="15"/>
        <v>482.38828271228954</v>
      </c>
      <c r="F54" s="547">
        <f t="shared" si="15"/>
        <v>521.61026061591258</v>
      </c>
      <c r="G54" s="547">
        <f t="shared" si="15"/>
        <v>556.76257222463232</v>
      </c>
      <c r="H54" s="547">
        <f t="shared" si="15"/>
        <v>592.20574444597003</v>
      </c>
      <c r="I54" s="547">
        <f t="shared" si="15"/>
        <v>630.65759826689407</v>
      </c>
      <c r="J54" s="547">
        <f t="shared" si="15"/>
        <v>674.07976419753277</v>
      </c>
      <c r="K54" s="548">
        <f t="shared" si="15"/>
        <v>723.05367889463116</v>
      </c>
      <c r="L54" s="244"/>
      <c r="N54" s="222"/>
    </row>
    <row r="55" spans="2:14">
      <c r="B55" s="210" t="s">
        <v>343</v>
      </c>
      <c r="C55" s="280" t="s">
        <v>128</v>
      </c>
      <c r="D55" s="757">
        <f>SUM(D53:D54)</f>
        <v>1285.4829225502954</v>
      </c>
      <c r="E55" s="758">
        <f t="shared" ref="E55:K55" si="16">SUM(E53:E54)</f>
        <v>1378.2522363208273</v>
      </c>
      <c r="F55" s="758">
        <f t="shared" si="16"/>
        <v>1490.3150303311788</v>
      </c>
      <c r="G55" s="758">
        <f t="shared" si="16"/>
        <v>1590.7502063560923</v>
      </c>
      <c r="H55" s="758">
        <f t="shared" si="16"/>
        <v>1692.0164127027715</v>
      </c>
      <c r="I55" s="758">
        <f t="shared" si="16"/>
        <v>1801.878852191126</v>
      </c>
      <c r="J55" s="758">
        <f t="shared" si="16"/>
        <v>1925.9421834215223</v>
      </c>
      <c r="K55" s="759">
        <f t="shared" si="16"/>
        <v>2065.8676539846606</v>
      </c>
    </row>
    <row r="56" spans="2:14" s="32" customFormat="1">
      <c r="B56" s="210"/>
      <c r="C56" s="220"/>
      <c r="D56" s="220"/>
      <c r="E56" s="220"/>
      <c r="F56" s="220"/>
      <c r="G56" s="220"/>
      <c r="H56" s="220"/>
      <c r="I56" s="220"/>
      <c r="J56" s="220"/>
      <c r="K56" s="220"/>
      <c r="L56" s="244"/>
      <c r="N56" s="222"/>
    </row>
    <row r="57" spans="2:14" s="32" customFormat="1">
      <c r="B57" s="392" t="s">
        <v>342</v>
      </c>
      <c r="C57" s="280" t="s">
        <v>128</v>
      </c>
      <c r="D57" s="97">
        <f t="shared" ref="D57:K58" si="17">D$35*D49</f>
        <v>21.306879441271146</v>
      </c>
      <c r="E57" s="98">
        <f t="shared" si="17"/>
        <v>21.321562095883198</v>
      </c>
      <c r="F57" s="98">
        <f t="shared" si="17"/>
        <v>21.505245887678914</v>
      </c>
      <c r="G57" s="98">
        <f t="shared" si="17"/>
        <v>19.749163811910886</v>
      </c>
      <c r="H57" s="98">
        <f t="shared" si="17"/>
        <v>17.377008558457465</v>
      </c>
      <c r="I57" s="98">
        <f t="shared" si="17"/>
        <v>13.351922294736246</v>
      </c>
      <c r="J57" s="98">
        <f t="shared" si="17"/>
        <v>11.517134256860702</v>
      </c>
      <c r="K57" s="99">
        <f t="shared" si="17"/>
        <v>9.6682606206482102</v>
      </c>
      <c r="L57" s="244"/>
      <c r="N57" s="222"/>
    </row>
    <row r="58" spans="2:14">
      <c r="B58" s="392" t="s">
        <v>238</v>
      </c>
      <c r="C58" s="280" t="s">
        <v>128</v>
      </c>
      <c r="D58" s="760">
        <f t="shared" si="17"/>
        <v>28.794817465126613</v>
      </c>
      <c r="E58" s="761">
        <f t="shared" si="17"/>
        <v>30.872850093586528</v>
      </c>
      <c r="F58" s="761">
        <f t="shared" si="17"/>
        <v>33.383056679418409</v>
      </c>
      <c r="G58" s="761">
        <f t="shared" si="17"/>
        <v>35.632804622376469</v>
      </c>
      <c r="H58" s="761">
        <f t="shared" si="17"/>
        <v>37.901167644542078</v>
      </c>
      <c r="I58" s="761">
        <f t="shared" si="17"/>
        <v>40.362086289081219</v>
      </c>
      <c r="J58" s="761">
        <f t="shared" si="17"/>
        <v>43.141104908642099</v>
      </c>
      <c r="K58" s="762">
        <f t="shared" si="17"/>
        <v>46.275435449256392</v>
      </c>
    </row>
    <row r="59" spans="2:14">
      <c r="B59" s="210" t="s">
        <v>344</v>
      </c>
      <c r="C59" s="280" t="s">
        <v>128</v>
      </c>
      <c r="D59" s="104">
        <f t="shared" ref="D59:K59" si="18">SUM(D57:D58)</f>
        <v>50.101696906397763</v>
      </c>
      <c r="E59" s="105">
        <f t="shared" si="18"/>
        <v>52.19441218946973</v>
      </c>
      <c r="F59" s="105">
        <f t="shared" si="18"/>
        <v>54.888302567097327</v>
      </c>
      <c r="G59" s="105">
        <f t="shared" si="18"/>
        <v>55.381968434287359</v>
      </c>
      <c r="H59" s="105">
        <f t="shared" si="18"/>
        <v>55.278176202999546</v>
      </c>
      <c r="I59" s="105">
        <f t="shared" si="18"/>
        <v>53.714008583817467</v>
      </c>
      <c r="J59" s="105">
        <f t="shared" si="18"/>
        <v>54.658239165502799</v>
      </c>
      <c r="K59" s="106">
        <f t="shared" si="18"/>
        <v>55.943696069904604</v>
      </c>
    </row>
    <row r="60" spans="2:14">
      <c r="B60" s="14"/>
      <c r="C60" s="245"/>
      <c r="D60" s="245"/>
      <c r="E60" s="245"/>
      <c r="F60" s="245"/>
      <c r="G60" s="245"/>
      <c r="H60" s="245"/>
      <c r="I60" s="245"/>
      <c r="J60" s="245"/>
      <c r="K60" s="245"/>
    </row>
    <row r="61" spans="2:14">
      <c r="B61" s="14"/>
      <c r="C61" s="245"/>
      <c r="D61" s="245"/>
      <c r="E61" s="245"/>
      <c r="F61" s="245"/>
      <c r="G61" s="245"/>
      <c r="H61" s="245"/>
      <c r="I61" s="245"/>
      <c r="J61" s="245"/>
      <c r="K61" s="245"/>
    </row>
    <row r="62" spans="2:14">
      <c r="B62" s="14"/>
      <c r="C62" s="245"/>
      <c r="D62" s="245"/>
      <c r="E62" s="245"/>
      <c r="F62" s="245"/>
      <c r="G62" s="245"/>
      <c r="H62" s="245"/>
      <c r="I62" s="245"/>
      <c r="J62" s="245"/>
      <c r="K62" s="245"/>
    </row>
    <row r="63" spans="2:14">
      <c r="B63" s="14"/>
      <c r="C63" s="245"/>
      <c r="D63" s="245"/>
      <c r="E63" s="245"/>
      <c r="F63" s="245"/>
      <c r="G63" s="245"/>
      <c r="H63" s="245"/>
      <c r="I63" s="245"/>
      <c r="J63" s="245"/>
      <c r="K63" s="245"/>
    </row>
  </sheetData>
  <conditionalFormatting sqref="D6:K6">
    <cfRule type="expression" dxfId="28" priority="13">
      <formula>AND(D$5="Actuals",E$5="Forecast")</formula>
    </cfRule>
  </conditionalFormatting>
  <conditionalFormatting sqref="D5:K5">
    <cfRule type="expression" dxfId="27"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90"/>
  <sheetViews>
    <sheetView showGridLines="0" zoomScale="80" zoomScaleNormal="80" workbookViewId="0">
      <pane ySplit="6" topLeftCell="A7" activePane="bottomLeft" state="frozen"/>
      <selection activeCell="G29" sqref="G29"/>
      <selection pane="bottomLeft" activeCell="A3" sqref="A3"/>
    </sheetView>
  </sheetViews>
  <sheetFormatPr defaultRowHeight="12.75"/>
  <cols>
    <col min="1" max="1" width="8.375" customWidth="1"/>
    <col min="2" max="2" width="95.5" customWidth="1"/>
    <col min="3" max="3" width="14.125" customWidth="1"/>
    <col min="4" max="11" width="11.125" customWidth="1"/>
    <col min="12" max="12" width="5" customWidth="1"/>
  </cols>
  <sheetData>
    <row r="1" spans="1:13" s="32" customFormat="1" ht="20.25">
      <c r="A1" s="268" t="s">
        <v>261</v>
      </c>
      <c r="B1" s="269"/>
      <c r="C1" s="269"/>
      <c r="D1" s="269"/>
      <c r="E1" s="269"/>
      <c r="F1" s="269"/>
      <c r="G1" s="269"/>
      <c r="H1" s="269"/>
      <c r="I1" s="270"/>
      <c r="J1" s="270"/>
      <c r="K1" s="271"/>
      <c r="L1" s="272"/>
    </row>
    <row r="2" spans="1:13" s="32" customFormat="1" ht="20.25">
      <c r="A2" s="126" t="str">
        <f>'RFPR cover'!C5</f>
        <v>WPD-SWEST</v>
      </c>
      <c r="B2" s="30"/>
      <c r="C2" s="30"/>
      <c r="D2" s="30"/>
      <c r="E2" s="30"/>
      <c r="F2" s="30"/>
      <c r="G2" s="30"/>
      <c r="H2" s="30"/>
      <c r="I2" s="27"/>
      <c r="J2" s="27"/>
      <c r="K2" s="27"/>
      <c r="L2" s="127"/>
    </row>
    <row r="3" spans="1:13" s="32" customFormat="1" ht="20.25">
      <c r="A3" s="273">
        <f>'RFPR cover'!C7</f>
        <v>2019</v>
      </c>
      <c r="B3" s="274"/>
      <c r="C3" s="274"/>
      <c r="D3" s="274"/>
      <c r="E3" s="274"/>
      <c r="F3" s="274"/>
      <c r="G3" s="274"/>
      <c r="H3" s="274"/>
      <c r="I3" s="267"/>
      <c r="J3" s="267"/>
      <c r="K3" s="267"/>
      <c r="L3" s="275"/>
    </row>
    <row r="4" spans="1:13" s="32" customFormat="1" ht="12.75" customHeight="1">
      <c r="A4" s="276"/>
      <c r="B4" s="277"/>
      <c r="C4" s="276"/>
      <c r="D4" s="276"/>
      <c r="E4" s="276"/>
      <c r="F4" s="276"/>
      <c r="G4" s="276"/>
      <c r="H4" s="276"/>
      <c r="I4" s="278"/>
      <c r="J4" s="278"/>
      <c r="K4" s="278"/>
      <c r="L4" s="279"/>
      <c r="M4" s="277"/>
    </row>
    <row r="5" spans="1:13" s="2" customFormat="1">
      <c r="B5" s="3"/>
      <c r="C5" s="3"/>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3"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3" s="36" customFormat="1">
      <c r="D7" s="455"/>
      <c r="E7" s="455"/>
      <c r="F7" s="455"/>
      <c r="G7" s="455"/>
      <c r="H7" s="455"/>
      <c r="I7" s="455"/>
      <c r="J7" s="455"/>
      <c r="K7" s="455"/>
    </row>
    <row r="8" spans="1:13" s="2" customFormat="1">
      <c r="B8" s="389" t="s">
        <v>367</v>
      </c>
      <c r="C8" s="308"/>
      <c r="D8" s="308"/>
      <c r="E8" s="308"/>
      <c r="F8" s="308"/>
      <c r="G8" s="308"/>
      <c r="H8" s="308"/>
      <c r="I8" s="308"/>
      <c r="J8" s="308"/>
      <c r="K8" s="308"/>
      <c r="L8" s="308"/>
    </row>
    <row r="9" spans="1:13" s="2" customFormat="1">
      <c r="B9" s="389" t="s">
        <v>472</v>
      </c>
      <c r="C9" s="308"/>
      <c r="D9" s="308"/>
      <c r="E9" s="308"/>
      <c r="F9" s="308"/>
      <c r="G9" s="308"/>
      <c r="H9" s="308"/>
      <c r="I9" s="308"/>
      <c r="J9" s="308"/>
      <c r="K9" s="308"/>
      <c r="L9" s="308"/>
    </row>
    <row r="10" spans="1:13" s="2" customFormat="1">
      <c r="B10" s="389" t="s">
        <v>368</v>
      </c>
      <c r="C10" s="308"/>
      <c r="D10" s="308"/>
      <c r="E10" s="308"/>
      <c r="F10" s="308"/>
      <c r="G10" s="308"/>
      <c r="H10" s="308"/>
      <c r="I10" s="308"/>
      <c r="J10" s="308"/>
      <c r="K10" s="308"/>
      <c r="L10" s="308"/>
    </row>
    <row r="11" spans="1:13" s="36" customFormat="1">
      <c r="B11" s="454"/>
    </row>
    <row r="12" spans="1:13">
      <c r="B12" s="209" t="s">
        <v>535</v>
      </c>
      <c r="C12" s="280" t="s">
        <v>128</v>
      </c>
      <c r="D12" s="665">
        <v>14.369399999999999</v>
      </c>
      <c r="E12" s="937">
        <v>11.399199999999992</v>
      </c>
      <c r="F12" s="666">
        <v>30.141790000000004</v>
      </c>
      <c r="G12" s="666"/>
      <c r="H12" s="666"/>
      <c r="I12" s="666"/>
      <c r="J12" s="666"/>
      <c r="K12" s="667"/>
    </row>
    <row r="13" spans="1:13">
      <c r="B13" s="14"/>
      <c r="C13" s="14"/>
      <c r="D13" s="763"/>
      <c r="E13" s="763"/>
      <c r="F13" s="763"/>
      <c r="G13" s="763"/>
      <c r="H13" s="763"/>
      <c r="I13" s="763"/>
      <c r="J13" s="763"/>
      <c r="K13" s="763"/>
    </row>
    <row r="14" spans="1:13">
      <c r="B14" s="14" t="s">
        <v>471</v>
      </c>
      <c r="C14" s="280"/>
      <c r="D14" s="763"/>
      <c r="E14" s="763"/>
      <c r="F14" s="763"/>
      <c r="G14" s="763"/>
      <c r="H14" s="763"/>
      <c r="I14" s="763"/>
      <c r="J14" s="763"/>
      <c r="K14" s="763"/>
    </row>
    <row r="15" spans="1:13">
      <c r="B15" s="390" t="s">
        <v>493</v>
      </c>
      <c r="C15" s="280" t="s">
        <v>128</v>
      </c>
      <c r="D15" s="621"/>
      <c r="E15" s="622"/>
      <c r="F15" s="622"/>
      <c r="G15" s="622"/>
      <c r="H15" s="622"/>
      <c r="I15" s="622"/>
      <c r="J15" s="622"/>
      <c r="K15" s="632"/>
    </row>
    <row r="16" spans="1:13">
      <c r="B16" s="936" t="s">
        <v>138</v>
      </c>
      <c r="C16" s="280" t="s">
        <v>128</v>
      </c>
      <c r="D16" s="621">
        <v>1.0901086346622078</v>
      </c>
      <c r="E16" s="621">
        <v>1.0385060359552349</v>
      </c>
      <c r="F16" s="622">
        <v>0.84656829932026456</v>
      </c>
      <c r="G16" s="622"/>
      <c r="H16" s="622"/>
      <c r="I16" s="622"/>
      <c r="J16" s="622"/>
      <c r="K16" s="632"/>
    </row>
    <row r="17" spans="2:12">
      <c r="B17" s="936" t="s">
        <v>139</v>
      </c>
      <c r="C17" s="280" t="s">
        <v>128</v>
      </c>
      <c r="D17" s="621">
        <v>-0.35113880002194037</v>
      </c>
      <c r="E17" s="621">
        <v>-0.55957060746967591</v>
      </c>
      <c r="F17" s="622">
        <v>-0.29099211962829724</v>
      </c>
      <c r="G17" s="622"/>
      <c r="H17" s="622"/>
      <c r="I17" s="622"/>
      <c r="J17" s="622"/>
      <c r="K17" s="632"/>
    </row>
    <row r="18" spans="2:12">
      <c r="B18" s="936" t="s">
        <v>142</v>
      </c>
      <c r="C18" s="280" t="s">
        <v>128</v>
      </c>
      <c r="D18" s="621">
        <v>0.24827717116580683</v>
      </c>
      <c r="E18" s="621">
        <v>0.23281211217444264</v>
      </c>
      <c r="F18" s="622">
        <v>8.2514469966497625E-2</v>
      </c>
      <c r="G18" s="622"/>
      <c r="H18" s="622"/>
      <c r="I18" s="622"/>
      <c r="J18" s="622"/>
      <c r="K18" s="632"/>
    </row>
    <row r="19" spans="2:12">
      <c r="B19" s="282" t="s">
        <v>369</v>
      </c>
      <c r="C19" s="280" t="s">
        <v>128</v>
      </c>
      <c r="D19" s="764">
        <f>SUM(D15:D18)</f>
        <v>0.98724700580607416</v>
      </c>
      <c r="E19" s="765">
        <f t="shared" ref="E19:K19" si="1">SUM(E15:E18)</f>
        <v>0.71174754066000168</v>
      </c>
      <c r="F19" s="765">
        <f t="shared" si="1"/>
        <v>0.63809064965846496</v>
      </c>
      <c r="G19" s="765">
        <f t="shared" si="1"/>
        <v>0</v>
      </c>
      <c r="H19" s="765">
        <f t="shared" si="1"/>
        <v>0</v>
      </c>
      <c r="I19" s="765">
        <f t="shared" si="1"/>
        <v>0</v>
      </c>
      <c r="J19" s="765">
        <f t="shared" si="1"/>
        <v>0</v>
      </c>
      <c r="K19" s="766">
        <f t="shared" si="1"/>
        <v>0</v>
      </c>
    </row>
    <row r="20" spans="2:12" s="32" customFormat="1">
      <c r="B20" s="390"/>
      <c r="C20" s="390"/>
      <c r="D20" s="767"/>
      <c r="E20" s="767"/>
      <c r="F20" s="767"/>
      <c r="G20" s="767"/>
      <c r="H20" s="767"/>
      <c r="I20" s="767"/>
      <c r="J20" s="767"/>
      <c r="K20" s="767"/>
      <c r="L20" s="390"/>
    </row>
    <row r="21" spans="2:12">
      <c r="B21" s="14" t="s">
        <v>333</v>
      </c>
      <c r="C21" s="280"/>
      <c r="D21" s="768"/>
      <c r="E21" s="768"/>
      <c r="F21" s="768"/>
      <c r="G21" s="768"/>
      <c r="H21" s="768"/>
      <c r="I21" s="768"/>
      <c r="J21" s="768"/>
      <c r="K21" s="768"/>
      <c r="L21" s="280"/>
    </row>
    <row r="22" spans="2:12">
      <c r="B22" s="390" t="s">
        <v>494</v>
      </c>
      <c r="C22" s="280" t="s">
        <v>128</v>
      </c>
      <c r="D22" s="883">
        <f>('R5 - Output Incentives'!D102)*INDEX(Data!$G$14:$G$30,MATCH('R10 - Tax'!D$6,Data!$C$14:$C$30,0),1)</f>
        <v>1.459196167023</v>
      </c>
      <c r="E22" s="884">
        <f>('R5 - Output Incentives'!E102)*INDEX(Data!$G$14:$G$30,MATCH('R10 - Tax'!E$6,Data!$C$14:$C$30,0),1)</f>
        <v>1.5955874913953982</v>
      </c>
      <c r="F22" s="884">
        <f>('R5 - Output Incentives'!F102)*INDEX(Data!$G$14:$G$30,MATCH('R10 - Tax'!F$6,Data!$C$14:$C$30,0),1)</f>
        <v>2.1007627333178029</v>
      </c>
      <c r="G22" s="884">
        <f>('R5 - Output Incentives'!G102)*INDEX(Data!$G$14:$G$30,MATCH('R10 - Tax'!G$6,Data!$C$14:$C$30,0),1)</f>
        <v>1.7800761763358763</v>
      </c>
      <c r="H22" s="886">
        <f>('R5 - Output Incentives'!H102)*INDEX(Data!$G$14:$G$30,MATCH('R10 - Tax'!H$6,Data!$C$14:$C$30,0),1)</f>
        <v>0.98902552726612036</v>
      </c>
      <c r="I22" s="886">
        <f>('R5 - Output Incentives'!I102)*INDEX(Data!$G$14:$G$30,MATCH('R10 - Tax'!I$6,Data!$C$14:$C$30,0),1)</f>
        <v>1.7359012861931946</v>
      </c>
      <c r="J22" s="886">
        <f>('R5 - Output Incentives'!J102)*INDEX(Data!$G$14:$G$30,MATCH('R10 - Tax'!J$6,Data!$C$14:$C$30,0),1)</f>
        <v>1.4120529544152531</v>
      </c>
      <c r="K22" s="887">
        <f>('R5 - Output Incentives'!K102)*INDEX(Data!$G$14:$G$30,MATCH('R10 - Tax'!K$6,Data!$C$14:$C$30,0),1)</f>
        <v>1.3973015567214953</v>
      </c>
    </row>
    <row r="23" spans="2:12">
      <c r="B23" s="390" t="s">
        <v>495</v>
      </c>
      <c r="C23" s="280" t="s">
        <v>128</v>
      </c>
      <c r="D23" s="625">
        <f>('R4 - Totex'!D77-'R4 - Totex'!D79)*D40</f>
        <v>1.1401098647619827</v>
      </c>
      <c r="E23" s="627">
        <f>('R4 - Totex'!E77-'R4 - Totex'!E79)*E40</f>
        <v>1.1648269564822449</v>
      </c>
      <c r="F23" s="627">
        <f>('R4 - Totex'!F77-'R4 - Totex'!F79)*F40</f>
        <v>1.123276226405425</v>
      </c>
      <c r="G23" s="627">
        <f>('R4 - Totex'!G77-'R4 - Totex'!G79)*G40</f>
        <v>1.179387257949533</v>
      </c>
      <c r="H23" s="888">
        <f>('R4 - Totex'!H77-'R4 - Totex'!H79)*H40</f>
        <v>1.189049857900965</v>
      </c>
      <c r="I23" s="888">
        <f>('R4 - Totex'!I77-'R4 - Totex'!I79)*I40</f>
        <v>1.1059898138768935</v>
      </c>
      <c r="J23" s="888">
        <f>('R4 - Totex'!J77-'R4 - Totex'!J79)*J40</f>
        <v>1.138421767125239</v>
      </c>
      <c r="K23" s="889">
        <f>('R4 - Totex'!K77-'R4 - Totex'!K79)*K40</f>
        <v>1.2280302084885215</v>
      </c>
    </row>
    <row r="24" spans="2:12">
      <c r="B24" s="390" t="s">
        <v>496</v>
      </c>
      <c r="C24" s="280" t="s">
        <v>128</v>
      </c>
      <c r="D24" s="623">
        <v>-0.58316466921426247</v>
      </c>
      <c r="E24" s="623">
        <v>6.7675650604549382</v>
      </c>
      <c r="F24" s="624">
        <v>2.2451797052707918</v>
      </c>
      <c r="G24" s="624"/>
      <c r="H24" s="624"/>
      <c r="I24" s="624"/>
      <c r="J24" s="624"/>
      <c r="K24" s="633"/>
    </row>
    <row r="25" spans="2:12">
      <c r="B25" s="390" t="s">
        <v>497</v>
      </c>
      <c r="C25" s="280" t="s">
        <v>128</v>
      </c>
      <c r="D25" s="623"/>
      <c r="E25" s="623"/>
      <c r="F25" s="624"/>
      <c r="G25" s="624"/>
      <c r="H25" s="624"/>
      <c r="I25" s="624"/>
      <c r="J25" s="624"/>
      <c r="K25" s="633"/>
    </row>
    <row r="26" spans="2:12">
      <c r="B26" s="390" t="s">
        <v>498</v>
      </c>
      <c r="C26" s="280" t="s">
        <v>128</v>
      </c>
      <c r="D26" s="623"/>
      <c r="E26" s="623"/>
      <c r="F26" s="624"/>
      <c r="G26" s="624"/>
      <c r="H26" s="624"/>
      <c r="I26" s="624"/>
      <c r="J26" s="624"/>
      <c r="K26" s="633"/>
    </row>
    <row r="27" spans="2:12">
      <c r="B27" s="390" t="s">
        <v>499</v>
      </c>
      <c r="C27" s="280" t="s">
        <v>128</v>
      </c>
      <c r="D27" s="623"/>
      <c r="E27" s="623"/>
      <c r="F27" s="624"/>
      <c r="G27" s="624"/>
      <c r="H27" s="624"/>
      <c r="I27" s="624"/>
      <c r="J27" s="624"/>
      <c r="K27" s="633"/>
    </row>
    <row r="28" spans="2:12">
      <c r="B28" s="456" t="s">
        <v>390</v>
      </c>
      <c r="C28" s="280" t="s">
        <v>128</v>
      </c>
      <c r="D28" s="623">
        <v>0.41612170057041359</v>
      </c>
      <c r="E28" s="623">
        <v>0.42987821439257556</v>
      </c>
      <c r="F28" s="624">
        <v>-0.99115617167639491</v>
      </c>
      <c r="G28" s="624"/>
      <c r="H28" s="624"/>
      <c r="I28" s="624"/>
      <c r="J28" s="624"/>
      <c r="K28" s="633"/>
    </row>
    <row r="29" spans="2:12">
      <c r="B29" s="456" t="s">
        <v>576</v>
      </c>
      <c r="C29" s="280" t="s">
        <v>128</v>
      </c>
      <c r="D29" s="623">
        <v>1.4184140849061724</v>
      </c>
      <c r="E29" s="623">
        <v>0.26489708686487534</v>
      </c>
      <c r="F29" s="624">
        <v>-1.5094049779818053</v>
      </c>
      <c r="G29" s="624"/>
      <c r="H29" s="624"/>
      <c r="I29" s="624"/>
      <c r="J29" s="624"/>
      <c r="K29" s="633"/>
    </row>
    <row r="30" spans="2:12">
      <c r="B30" s="456" t="s">
        <v>391</v>
      </c>
      <c r="C30" s="280" t="s">
        <v>128</v>
      </c>
      <c r="D30" s="623">
        <v>0.19487455592322478</v>
      </c>
      <c r="E30" s="623">
        <v>0.30740244698230368</v>
      </c>
      <c r="F30" s="624">
        <v>-3.1049184662830465E-2</v>
      </c>
      <c r="G30" s="624"/>
      <c r="H30" s="624"/>
      <c r="I30" s="624"/>
      <c r="J30" s="624"/>
      <c r="K30" s="633"/>
    </row>
    <row r="31" spans="2:12">
      <c r="B31" s="456" t="s">
        <v>545</v>
      </c>
      <c r="C31" s="280" t="s">
        <v>128</v>
      </c>
      <c r="D31" s="623">
        <v>-1.8809201851900483</v>
      </c>
      <c r="E31" s="623">
        <v>-0.38201713895261386</v>
      </c>
      <c r="F31" s="624">
        <v>0</v>
      </c>
      <c r="G31" s="624"/>
      <c r="H31" s="624"/>
      <c r="I31" s="624"/>
      <c r="J31" s="624"/>
      <c r="K31" s="633"/>
    </row>
    <row r="32" spans="2:12">
      <c r="B32" s="456" t="s">
        <v>577</v>
      </c>
      <c r="C32" s="280" t="s">
        <v>128</v>
      </c>
      <c r="D32" s="623">
        <v>0.82521640899108351</v>
      </c>
      <c r="E32" s="623">
        <v>0.86878635946403149</v>
      </c>
      <c r="F32" s="624">
        <v>0.8920797072718315</v>
      </c>
      <c r="G32" s="624"/>
      <c r="H32" s="624"/>
      <c r="I32" s="624"/>
      <c r="J32" s="624"/>
      <c r="K32" s="633"/>
    </row>
    <row r="33" spans="2:13">
      <c r="B33" s="456" t="s">
        <v>578</v>
      </c>
      <c r="C33" s="280"/>
      <c r="D33" s="634">
        <v>0.11528749137871025</v>
      </c>
      <c r="E33" s="634">
        <v>-0.10946247293487719</v>
      </c>
      <c r="F33" s="635">
        <v>-0.1093112806734084</v>
      </c>
      <c r="G33" s="635"/>
      <c r="H33" s="635"/>
      <c r="I33" s="635"/>
      <c r="J33" s="635"/>
      <c r="K33" s="636"/>
    </row>
    <row r="34" spans="2:13">
      <c r="B34" s="456" t="s">
        <v>579</v>
      </c>
      <c r="C34" s="280" t="s">
        <v>128</v>
      </c>
      <c r="D34" s="634">
        <v>0</v>
      </c>
      <c r="E34" s="634">
        <v>-2.1248745288104285</v>
      </c>
      <c r="F34" s="635">
        <v>3.2544398312918652</v>
      </c>
      <c r="G34" s="635"/>
      <c r="H34" s="635"/>
      <c r="I34" s="635"/>
      <c r="J34" s="635"/>
      <c r="K34" s="636"/>
    </row>
    <row r="35" spans="2:13">
      <c r="B35" s="14" t="s">
        <v>177</v>
      </c>
      <c r="C35" s="280" t="s">
        <v>128</v>
      </c>
      <c r="D35" s="769">
        <f t="shared" ref="D35:K35" si="2">SUM(D22:D34)</f>
        <v>3.1051354191502765</v>
      </c>
      <c r="E35" s="770">
        <f t="shared" si="2"/>
        <v>8.7825894753384475</v>
      </c>
      <c r="F35" s="770">
        <f t="shared" si="2"/>
        <v>6.9748165885632778</v>
      </c>
      <c r="G35" s="770">
        <f t="shared" si="2"/>
        <v>2.9594634342854094</v>
      </c>
      <c r="H35" s="770">
        <f t="shared" si="2"/>
        <v>2.1780753851670855</v>
      </c>
      <c r="I35" s="770">
        <f t="shared" si="2"/>
        <v>2.8418911000700882</v>
      </c>
      <c r="J35" s="770">
        <f t="shared" si="2"/>
        <v>2.5504747215404922</v>
      </c>
      <c r="K35" s="771">
        <f t="shared" si="2"/>
        <v>2.6253317652100168</v>
      </c>
    </row>
    <row r="37" spans="2:13" ht="12.75" customHeight="1">
      <c r="B37" s="848" t="s">
        <v>506</v>
      </c>
      <c r="C37" s="280" t="s">
        <v>128</v>
      </c>
      <c r="D37" s="665"/>
      <c r="E37" s="666"/>
      <c r="F37" s="666"/>
      <c r="G37" s="666">
        <v>17.393564556379733</v>
      </c>
      <c r="H37" s="666">
        <v>16.272468954888918</v>
      </c>
      <c r="I37" s="666">
        <v>15.006357972773271</v>
      </c>
      <c r="J37" s="666">
        <v>12.543884295563673</v>
      </c>
      <c r="K37" s="666">
        <v>12.112089701377787</v>
      </c>
    </row>
    <row r="38" spans="2:13" ht="12.75" customHeight="1">
      <c r="B38" s="848" t="s">
        <v>475</v>
      </c>
      <c r="C38" s="280" t="s">
        <v>128</v>
      </c>
      <c r="D38" s="769">
        <f t="shared" ref="D38:K38" si="3">D12+D37-D19-D35</f>
        <v>10.277017575043649</v>
      </c>
      <c r="E38" s="770">
        <f t="shared" si="3"/>
        <v>1.904862984001543</v>
      </c>
      <c r="F38" s="770">
        <f t="shared" si="3"/>
        <v>22.528882761778259</v>
      </c>
      <c r="G38" s="770">
        <f t="shared" si="3"/>
        <v>14.434101122094324</v>
      </c>
      <c r="H38" s="770">
        <f t="shared" si="3"/>
        <v>14.094393569721833</v>
      </c>
      <c r="I38" s="770">
        <f t="shared" si="3"/>
        <v>12.164466872703183</v>
      </c>
      <c r="J38" s="770">
        <f t="shared" si="3"/>
        <v>9.9934095740231808</v>
      </c>
      <c r="K38" s="771">
        <f t="shared" si="3"/>
        <v>9.4867579361677699</v>
      </c>
    </row>
    <row r="39" spans="2:13" ht="12.75" customHeight="1">
      <c r="B39" s="507"/>
      <c r="C39" s="280"/>
      <c r="D39" s="280"/>
      <c r="E39" s="280"/>
      <c r="F39" s="280"/>
      <c r="G39" s="280"/>
      <c r="H39" s="280"/>
      <c r="I39" s="280"/>
      <c r="J39" s="280"/>
      <c r="K39" s="280"/>
    </row>
    <row r="40" spans="2:13">
      <c r="B40" s="38" t="s">
        <v>483</v>
      </c>
      <c r="C40" s="281" t="s">
        <v>127</v>
      </c>
      <c r="D40" s="114">
        <f>Data!C$34</f>
        <v>1.0603167467048125</v>
      </c>
      <c r="E40" s="114">
        <f>Data!D$34</f>
        <v>1.0830366813119445</v>
      </c>
      <c r="F40" s="114">
        <f>Data!E$34</f>
        <v>1.1235639113109226</v>
      </c>
      <c r="G40" s="114">
        <f>Data!F$34</f>
        <v>1.1578951670583426</v>
      </c>
      <c r="H40" s="114">
        <f>Data!G$34</f>
        <v>1.1882899151936241</v>
      </c>
      <c r="I40" s="114">
        <f>Data!H$34</f>
        <v>1.2212649603402472</v>
      </c>
      <c r="J40" s="114">
        <f>Data!I$34</f>
        <v>1.2582082253905398</v>
      </c>
      <c r="K40" s="114">
        <f>Data!J$34</f>
        <v>1.296898128321299</v>
      </c>
      <c r="L40" s="280"/>
    </row>
    <row r="41" spans="2:13">
      <c r="B41" s="209"/>
      <c r="C41" s="280"/>
      <c r="D41" s="280"/>
      <c r="E41" s="280"/>
      <c r="F41" s="280"/>
      <c r="G41" s="280"/>
      <c r="H41" s="280"/>
      <c r="I41" s="280"/>
      <c r="J41" s="280"/>
      <c r="K41" s="280"/>
    </row>
    <row r="42" spans="2:13">
      <c r="B42" s="569" t="s">
        <v>476</v>
      </c>
      <c r="C42" s="420" t="str">
        <f>'RFPR cover'!$C$14</f>
        <v>£m 12/13</v>
      </c>
      <c r="D42" s="813">
        <f t="shared" ref="D42:K42" si="4">D38/D40</f>
        <v>9.6924033379477734</v>
      </c>
      <c r="E42" s="814">
        <f t="shared" si="4"/>
        <v>1.7588166835624377</v>
      </c>
      <c r="F42" s="814">
        <f t="shared" si="4"/>
        <v>20.051269478291267</v>
      </c>
      <c r="G42" s="814">
        <f t="shared" si="4"/>
        <v>12.465809973768581</v>
      </c>
      <c r="H42" s="814">
        <f t="shared" si="4"/>
        <v>11.861073118192072</v>
      </c>
      <c r="I42" s="814">
        <f t="shared" si="4"/>
        <v>9.9605468655336971</v>
      </c>
      <c r="J42" s="814">
        <f t="shared" si="4"/>
        <v>7.9425721214954628</v>
      </c>
      <c r="K42" s="815">
        <f t="shared" si="4"/>
        <v>7.3149600026390669</v>
      </c>
    </row>
    <row r="43" spans="2:13">
      <c r="B43" s="848"/>
      <c r="C43" s="848"/>
      <c r="D43" s="848"/>
      <c r="E43" s="848"/>
      <c r="F43" s="848"/>
      <c r="G43" s="848"/>
      <c r="H43" s="848"/>
      <c r="I43" s="848"/>
      <c r="J43" s="848"/>
      <c r="K43" s="848"/>
    </row>
    <row r="44" spans="2:13">
      <c r="B44" s="856" t="s">
        <v>456</v>
      </c>
      <c r="C44" s="220"/>
      <c r="D44" s="220"/>
      <c r="E44" s="220"/>
      <c r="F44" s="220"/>
      <c r="G44" s="220"/>
      <c r="H44" s="220"/>
      <c r="I44" s="220"/>
      <c r="J44" s="220"/>
      <c r="K44" s="220"/>
    </row>
    <row r="45" spans="2:13">
      <c r="B45" s="389" t="s">
        <v>444</v>
      </c>
      <c r="C45" s="457"/>
      <c r="D45" s="457"/>
      <c r="E45" s="457"/>
      <c r="F45" s="457"/>
      <c r="G45" s="457"/>
      <c r="H45" s="457"/>
      <c r="I45" s="457"/>
      <c r="J45" s="457"/>
      <c r="K45" s="457"/>
      <c r="L45" s="457"/>
      <c r="M45" s="457"/>
    </row>
    <row r="47" spans="2:13" ht="12.75" customHeight="1">
      <c r="B47" s="223" t="s">
        <v>115</v>
      </c>
      <c r="C47" s="163" t="s">
        <v>7</v>
      </c>
      <c r="D47" s="921">
        <f>'RFPR cover'!$C$12</f>
        <v>0.65</v>
      </c>
      <c r="E47" s="922">
        <f>'RFPR cover'!$C$12</f>
        <v>0.65</v>
      </c>
      <c r="F47" s="922">
        <f>'RFPR cover'!$C$12</f>
        <v>0.65</v>
      </c>
      <c r="G47" s="922">
        <f>'RFPR cover'!$C$12</f>
        <v>0.65</v>
      </c>
      <c r="H47" s="922">
        <f>'RFPR cover'!$C$12</f>
        <v>0.65</v>
      </c>
      <c r="I47" s="922">
        <f>'RFPR cover'!$C$12</f>
        <v>0.65</v>
      </c>
      <c r="J47" s="922">
        <f>'RFPR cover'!$C$12</f>
        <v>0.65</v>
      </c>
      <c r="K47" s="923">
        <f>'RFPR cover'!$C$12</f>
        <v>0.65</v>
      </c>
    </row>
    <row r="48" spans="2:13" ht="12.75" customHeight="1">
      <c r="B48" s="223" t="s">
        <v>406</v>
      </c>
      <c r="C48" s="163" t="s">
        <v>7</v>
      </c>
      <c r="D48" s="921">
        <f>'R8 - Net Debt'!D57</f>
        <v>0.56398050650780918</v>
      </c>
      <c r="E48" s="922">
        <f>'R8 - Net Debt'!E57</f>
        <v>0.59217896914447288</v>
      </c>
      <c r="F48" s="922">
        <f>'R8 - Net Debt'!F57</f>
        <v>0.59262259541510731</v>
      </c>
      <c r="G48" s="922">
        <f>'R8 - Net Debt'!G57</f>
        <v>0.59541776965238646</v>
      </c>
      <c r="H48" s="922">
        <f>'R8 - Net Debt'!H57</f>
        <v>0.60587081066729487</v>
      </c>
      <c r="I48" s="922">
        <f>'R8 - Net Debt'!I57</f>
        <v>0.61979247207180221</v>
      </c>
      <c r="J48" s="922">
        <f>'R8 - Net Debt'!J57</f>
        <v>0.61016183867860907</v>
      </c>
      <c r="K48" s="923">
        <f>'R8 - Net Debt'!K57</f>
        <v>0.59334813758105309</v>
      </c>
    </row>
    <row r="49" spans="2:14" ht="12.75" customHeight="1">
      <c r="B49" s="223"/>
      <c r="C49" s="163"/>
      <c r="D49" s="163"/>
      <c r="E49" s="163"/>
      <c r="F49" s="163"/>
      <c r="G49" s="163"/>
      <c r="H49" s="163"/>
      <c r="I49" s="163"/>
      <c r="J49" s="163"/>
      <c r="K49" s="163"/>
      <c r="L49" s="163"/>
    </row>
    <row r="50" spans="2:14" ht="12.75" customHeight="1">
      <c r="B50" s="848" t="s">
        <v>476</v>
      </c>
      <c r="C50" s="280" t="s">
        <v>128</v>
      </c>
      <c r="D50" s="813">
        <f>D38</f>
        <v>10.277017575043649</v>
      </c>
      <c r="E50" s="813">
        <f t="shared" ref="E50:K50" si="5">E38</f>
        <v>1.904862984001543</v>
      </c>
      <c r="F50" s="813">
        <f t="shared" si="5"/>
        <v>22.528882761778259</v>
      </c>
      <c r="G50" s="813">
        <f t="shared" si="5"/>
        <v>14.434101122094324</v>
      </c>
      <c r="H50" s="813">
        <f t="shared" si="5"/>
        <v>14.094393569721833</v>
      </c>
      <c r="I50" s="813">
        <f t="shared" si="5"/>
        <v>12.164466872703183</v>
      </c>
      <c r="J50" s="813">
        <f t="shared" si="5"/>
        <v>9.9934095740231808</v>
      </c>
      <c r="K50" s="813">
        <f t="shared" si="5"/>
        <v>9.4867579361677699</v>
      </c>
    </row>
    <row r="51" spans="2:14">
      <c r="B51" s="223" t="s">
        <v>457</v>
      </c>
      <c r="C51" s="280" t="s">
        <v>128</v>
      </c>
      <c r="D51" s="924">
        <f>-('R7 - Financing'!D65*INDEX(Data!$G$14:$G$30,MATCH('R10 - Tax'!D$6,Data!$C$14:$C$30,0),1))</f>
        <v>-0.72814968200960117</v>
      </c>
      <c r="E51" s="924">
        <f>-('R7 - Financing'!E65*INDEX(Data!$G$14:$G$30,MATCH('R10 - Tax'!E$6,Data!$C$14:$C$30,0),1))</f>
        <v>-0.39427480993404229</v>
      </c>
      <c r="F51" s="924">
        <f>-('R7 - Financing'!F65*INDEX(Data!$G$14:$G$30,MATCH('R10 - Tax'!F$6,Data!$C$14:$C$30,0),1))</f>
        <v>-0.16615038303569687</v>
      </c>
      <c r="G51" s="924">
        <f>-('R7 - Financing'!G65*INDEX(Data!$G$14:$G$30,MATCH('R10 - Tax'!G$6,Data!$C$14:$C$30,0),1))</f>
        <v>-0.18287966070993328</v>
      </c>
      <c r="H51" s="924">
        <f>-('R7 - Financing'!H65*INDEX(Data!$G$14:$G$30,MATCH('R10 - Tax'!H$6,Data!$C$14:$C$30,0),1))</f>
        <v>-0.22721524820363798</v>
      </c>
      <c r="I51" s="924">
        <f>-('R7 - Financing'!I65*INDEX(Data!$G$14:$G$30,MATCH('R10 - Tax'!I$6,Data!$C$14:$C$30,0),1))</f>
        <v>-0.13329676702623242</v>
      </c>
      <c r="J51" s="924">
        <f>-('R7 - Financing'!J65*INDEX(Data!$G$14:$G$30,MATCH('R10 - Tax'!J$6,Data!$C$14:$C$30,0),1))</f>
        <v>-0.14975420103045262</v>
      </c>
      <c r="K51" s="924">
        <f>-('R7 - Financing'!K65*INDEX(Data!$G$14:$G$30,MATCH('R10 - Tax'!K$6,Data!$C$14:$C$30,0),1))</f>
        <v>-0.20939812884757081</v>
      </c>
      <c r="L51" s="280"/>
    </row>
    <row r="52" spans="2:14" s="32" customFormat="1">
      <c r="B52" s="857" t="s">
        <v>414</v>
      </c>
      <c r="C52" s="280" t="s">
        <v>128</v>
      </c>
      <c r="D52" s="769">
        <f>SUM(D50:D51)</f>
        <v>9.548867893034048</v>
      </c>
      <c r="E52" s="770">
        <f t="shared" ref="E52:K52" si="6">SUM(E50:E51)</f>
        <v>1.5105881740675007</v>
      </c>
      <c r="F52" s="770">
        <f t="shared" si="6"/>
        <v>22.362732378742564</v>
      </c>
      <c r="G52" s="770">
        <f t="shared" si="6"/>
        <v>14.251221461384391</v>
      </c>
      <c r="H52" s="770">
        <f t="shared" si="6"/>
        <v>13.867178321518194</v>
      </c>
      <c r="I52" s="770">
        <f t="shared" si="6"/>
        <v>12.031170105676951</v>
      </c>
      <c r="J52" s="770">
        <f t="shared" si="6"/>
        <v>9.8436553729927283</v>
      </c>
      <c r="K52" s="771">
        <f t="shared" si="6"/>
        <v>9.2773598073201988</v>
      </c>
      <c r="L52" s="833"/>
    </row>
    <row r="54" spans="2:14">
      <c r="B54" s="857" t="s">
        <v>414</v>
      </c>
      <c r="C54" s="420" t="str">
        <f>'RFPR cover'!$C$14</f>
        <v>£m 12/13</v>
      </c>
      <c r="D54" s="769">
        <f>D52/D40</f>
        <v>9.0056748822551711</v>
      </c>
      <c r="E54" s="770">
        <f t="shared" ref="E54:K54" si="7">E52/E40</f>
        <v>1.3947710175777597</v>
      </c>
      <c r="F54" s="770">
        <f t="shared" si="7"/>
        <v>19.903391479217909</v>
      </c>
      <c r="G54" s="770">
        <f t="shared" si="7"/>
        <v>12.307868507293215</v>
      </c>
      <c r="H54" s="770">
        <f t="shared" si="7"/>
        <v>11.669861154429327</v>
      </c>
      <c r="I54" s="770">
        <f t="shared" si="7"/>
        <v>9.8514003892529924</v>
      </c>
      <c r="J54" s="770">
        <f t="shared" si="7"/>
        <v>7.8235503268446056</v>
      </c>
      <c r="K54" s="771">
        <f t="shared" si="7"/>
        <v>7.153499264686876</v>
      </c>
    </row>
    <row r="55" spans="2:14">
      <c r="B55" s="857"/>
      <c r="C55" s="420"/>
      <c r="D55" s="420"/>
      <c r="E55" s="420"/>
      <c r="F55" s="420"/>
      <c r="G55" s="420"/>
      <c r="H55" s="420"/>
      <c r="I55" s="420"/>
      <c r="J55" s="420"/>
      <c r="K55" s="420"/>
    </row>
    <row r="57" spans="2:14">
      <c r="B57" s="816" t="s">
        <v>380</v>
      </c>
      <c r="C57" s="817"/>
      <c r="D57" s="817"/>
      <c r="E57" s="817"/>
      <c r="F57" s="817"/>
      <c r="G57" s="817"/>
      <c r="H57" s="817"/>
      <c r="I57" s="817"/>
      <c r="J57" s="817"/>
      <c r="K57" s="817"/>
      <c r="L57" s="817"/>
      <c r="M57" s="515"/>
    </row>
    <row r="58" spans="2:14" s="32" customFormat="1">
      <c r="B58" s="516"/>
      <c r="C58" s="515"/>
      <c r="D58" s="515"/>
      <c r="E58" s="515"/>
      <c r="F58" s="515"/>
      <c r="G58" s="515"/>
      <c r="H58" s="515"/>
      <c r="I58" s="515"/>
      <c r="J58" s="515"/>
      <c r="K58" s="515"/>
      <c r="L58" s="515"/>
      <c r="M58" s="515"/>
    </row>
    <row r="59" spans="2:14">
      <c r="B59" s="388" t="s">
        <v>477</v>
      </c>
      <c r="C59" s="308"/>
      <c r="D59" s="308"/>
      <c r="E59" s="308"/>
      <c r="F59" s="308"/>
      <c r="G59" s="308"/>
      <c r="H59" s="308"/>
      <c r="I59" s="308"/>
      <c r="J59" s="308"/>
      <c r="K59" s="308"/>
      <c r="L59" s="308"/>
      <c r="M59" s="210"/>
      <c r="N59" s="210"/>
    </row>
    <row r="60" spans="2:14" s="32" customFormat="1">
      <c r="B60" s="393"/>
      <c r="C60" s="36"/>
      <c r="D60" s="36"/>
      <c r="E60" s="36"/>
      <c r="F60" s="36"/>
      <c r="G60" s="36"/>
      <c r="H60" s="36"/>
      <c r="I60" s="36"/>
      <c r="J60" s="36"/>
      <c r="K60" s="36"/>
      <c r="L60" s="36"/>
      <c r="M60" s="38"/>
      <c r="N60" s="38"/>
    </row>
    <row r="61" spans="2:14">
      <c r="B61" s="210" t="s">
        <v>379</v>
      </c>
      <c r="C61" s="220" t="str">
        <f>'RFPR cover'!$C$14</f>
        <v>£m 12/13</v>
      </c>
      <c r="D61" s="609">
        <v>10.284235088259434</v>
      </c>
      <c r="E61" s="609">
        <v>7.8457318116284576</v>
      </c>
      <c r="F61" s="609">
        <v>14.484487826703694</v>
      </c>
      <c r="G61" s="609">
        <v>9.5890343610124553</v>
      </c>
      <c r="H61" s="609">
        <v>9.0149539138673536</v>
      </c>
      <c r="I61" s="609">
        <v>8.4970080926206375</v>
      </c>
      <c r="J61" s="609">
        <v>8.6914877953086389</v>
      </c>
      <c r="K61" s="609">
        <v>8.1547101054836446</v>
      </c>
    </row>
    <row r="62" spans="2:14">
      <c r="B62" s="210" t="s">
        <v>382</v>
      </c>
      <c r="C62" s="220" t="str">
        <f>'RFPR cover'!$C$14</f>
        <v>£m 12/13</v>
      </c>
      <c r="D62" s="617">
        <v>0</v>
      </c>
      <c r="E62" s="617">
        <v>0</v>
      </c>
      <c r="F62" s="617">
        <v>0</v>
      </c>
      <c r="G62" s="617">
        <v>0</v>
      </c>
      <c r="H62" s="617">
        <v>0</v>
      </c>
      <c r="I62" s="617">
        <v>0</v>
      </c>
      <c r="J62" s="617">
        <v>0</v>
      </c>
      <c r="K62" s="617">
        <v>0</v>
      </c>
    </row>
    <row r="63" spans="2:14">
      <c r="B63" s="210" t="s">
        <v>383</v>
      </c>
      <c r="C63" s="220" t="str">
        <f>'RFPR cover'!$C$14</f>
        <v>£m 12/13</v>
      </c>
      <c r="D63" s="673">
        <f t="shared" ref="D63:K63" si="8">SUM(D61:D62)</f>
        <v>10.284235088259434</v>
      </c>
      <c r="E63" s="674">
        <f t="shared" si="8"/>
        <v>7.8457318116284576</v>
      </c>
      <c r="F63" s="674">
        <f t="shared" si="8"/>
        <v>14.484487826703694</v>
      </c>
      <c r="G63" s="674">
        <f t="shared" si="8"/>
        <v>9.5890343610124553</v>
      </c>
      <c r="H63" s="674">
        <f t="shared" si="8"/>
        <v>9.0149539138673536</v>
      </c>
      <c r="I63" s="674">
        <f t="shared" si="8"/>
        <v>8.4970080926206375</v>
      </c>
      <c r="J63" s="674">
        <f t="shared" si="8"/>
        <v>8.6914877953086389</v>
      </c>
      <c r="K63" s="675">
        <f t="shared" si="8"/>
        <v>8.1547101054836446</v>
      </c>
    </row>
    <row r="64" spans="2:14">
      <c r="B64" s="210"/>
      <c r="C64" s="220"/>
      <c r="D64" s="220"/>
      <c r="E64" s="220"/>
      <c r="F64" s="220"/>
      <c r="G64" s="220"/>
      <c r="H64" s="220"/>
      <c r="I64" s="220"/>
      <c r="J64" s="220"/>
      <c r="K64" s="220"/>
      <c r="L64" s="220"/>
    </row>
    <row r="65" spans="2:13">
      <c r="B65" s="538" t="s">
        <v>478</v>
      </c>
      <c r="C65" s="308"/>
      <c r="D65" s="308"/>
      <c r="E65" s="308"/>
      <c r="F65" s="308"/>
      <c r="G65" s="308"/>
      <c r="H65" s="308"/>
      <c r="I65" s="308"/>
      <c r="J65" s="308"/>
      <c r="K65" s="308"/>
      <c r="L65" s="308"/>
    </row>
    <row r="66" spans="2:13" s="32" customFormat="1">
      <c r="B66" s="539"/>
      <c r="C66" s="36"/>
      <c r="D66" s="36"/>
      <c r="E66" s="36"/>
      <c r="F66" s="36"/>
      <c r="G66" s="36"/>
      <c r="H66" s="36"/>
      <c r="I66" s="36"/>
      <c r="J66" s="36"/>
      <c r="K66" s="36"/>
      <c r="L66" s="36"/>
    </row>
    <row r="67" spans="2:13">
      <c r="B67" s="210" t="s">
        <v>370</v>
      </c>
      <c r="C67" s="220" t="str">
        <f>'RFPR cover'!$C$14</f>
        <v>£m 12/13</v>
      </c>
      <c r="D67" s="609">
        <v>10.284235088259436</v>
      </c>
      <c r="E67" s="609">
        <v>7.8457318116284585</v>
      </c>
      <c r="F67" s="609">
        <v>14.484491724987553</v>
      </c>
      <c r="G67" s="609">
        <v>10.951824348165925</v>
      </c>
      <c r="H67" s="609">
        <v>9.6820370152045534</v>
      </c>
      <c r="I67" s="609">
        <v>9.5579724566466453</v>
      </c>
      <c r="J67" s="609">
        <v>10.117760776950512</v>
      </c>
      <c r="K67" s="609">
        <v>9.6701715776275492</v>
      </c>
    </row>
    <row r="68" spans="2:13">
      <c r="B68" s="210" t="s">
        <v>385</v>
      </c>
      <c r="C68" s="220" t="str">
        <f>'RFPR cover'!$C$14</f>
        <v>£m 12/13</v>
      </c>
      <c r="D68" s="617"/>
      <c r="E68" s="618"/>
      <c r="F68" s="618"/>
      <c r="G68" s="618"/>
      <c r="H68" s="618"/>
      <c r="I68" s="618"/>
      <c r="J68" s="618"/>
      <c r="K68" s="711"/>
    </row>
    <row r="69" spans="2:13">
      <c r="B69" s="14" t="s">
        <v>386</v>
      </c>
      <c r="C69" s="220" t="str">
        <f>'RFPR cover'!$C$14</f>
        <v>£m 12/13</v>
      </c>
      <c r="D69" s="637">
        <f t="shared" ref="D69:K69" si="9">SUM(D67:D68)</f>
        <v>10.284235088259436</v>
      </c>
      <c r="E69" s="638">
        <f t="shared" si="9"/>
        <v>7.8457318116284585</v>
      </c>
      <c r="F69" s="638">
        <f t="shared" si="9"/>
        <v>14.484491724987553</v>
      </c>
      <c r="G69" s="638">
        <f t="shared" si="9"/>
        <v>10.951824348165925</v>
      </c>
      <c r="H69" s="638">
        <f t="shared" si="9"/>
        <v>9.6820370152045534</v>
      </c>
      <c r="I69" s="638">
        <f t="shared" si="9"/>
        <v>9.5579724566466453</v>
      </c>
      <c r="J69" s="638">
        <f t="shared" si="9"/>
        <v>10.117760776950512</v>
      </c>
      <c r="K69" s="639">
        <f t="shared" si="9"/>
        <v>9.6701715776275492</v>
      </c>
    </row>
    <row r="70" spans="2:13" s="32" customFormat="1">
      <c r="B70" s="539"/>
      <c r="C70" s="36"/>
      <c r="D70" s="772"/>
      <c r="E70" s="772"/>
      <c r="F70" s="772"/>
      <c r="G70" s="772"/>
      <c r="H70" s="772"/>
      <c r="I70" s="772"/>
      <c r="J70" s="772"/>
      <c r="K70" s="772"/>
      <c r="L70" s="36"/>
    </row>
    <row r="71" spans="2:13" s="32" customFormat="1">
      <c r="B71" s="540" t="s">
        <v>384</v>
      </c>
      <c r="C71" s="36"/>
      <c r="D71" s="729">
        <f t="shared" ref="D71:K71" si="10">D69-D63</f>
        <v>0</v>
      </c>
      <c r="E71" s="730">
        <f t="shared" si="10"/>
        <v>0</v>
      </c>
      <c r="F71" s="730">
        <f t="shared" si="10"/>
        <v>3.8982838592716007E-6</v>
      </c>
      <c r="G71" s="730">
        <f t="shared" si="10"/>
        <v>1.3627899871534694</v>
      </c>
      <c r="H71" s="730">
        <f t="shared" si="10"/>
        <v>0.66708310133719984</v>
      </c>
      <c r="I71" s="730">
        <f t="shared" si="10"/>
        <v>1.0609643640260078</v>
      </c>
      <c r="J71" s="730">
        <f t="shared" si="10"/>
        <v>1.4262729816418727</v>
      </c>
      <c r="K71" s="731">
        <f t="shared" si="10"/>
        <v>1.5154614721439046</v>
      </c>
      <c r="L71" s="36"/>
    </row>
    <row r="72" spans="2:13">
      <c r="B72" s="210" t="s">
        <v>381</v>
      </c>
      <c r="C72" s="220" t="str">
        <f>'RFPR cover'!$C$14</f>
        <v>£m 12/13</v>
      </c>
      <c r="D72" s="613">
        <v>0</v>
      </c>
      <c r="E72" s="613">
        <v>0</v>
      </c>
      <c r="F72" s="613">
        <v>-0.89410418683356163</v>
      </c>
      <c r="G72" s="613">
        <v>-0.58639699391756717</v>
      </c>
      <c r="H72" s="613">
        <v>-0.56211858271839377</v>
      </c>
      <c r="I72" s="613">
        <v>-1.722318781367832</v>
      </c>
      <c r="J72" s="613">
        <v>-1.6120205091299948</v>
      </c>
      <c r="K72" s="613">
        <v>-1.5102520279803018</v>
      </c>
    </row>
    <row r="73" spans="2:13">
      <c r="B73" s="210" t="s">
        <v>432</v>
      </c>
      <c r="C73" s="220" t="str">
        <f>'RFPR cover'!$C$14</f>
        <v>£m 12/13</v>
      </c>
      <c r="D73" s="613">
        <f>-D72</f>
        <v>0</v>
      </c>
      <c r="E73" s="613">
        <f t="shared" ref="E73:G73" si="11">-E72</f>
        <v>0</v>
      </c>
      <c r="F73" s="613">
        <f t="shared" si="11"/>
        <v>0.89410418683356163</v>
      </c>
      <c r="G73" s="613">
        <f t="shared" si="11"/>
        <v>0.58639699391756717</v>
      </c>
      <c r="H73" s="614">
        <v>-0.98460793635187416</v>
      </c>
      <c r="I73" s="614">
        <v>0.40104699265939736</v>
      </c>
      <c r="J73" s="614">
        <v>0.31371954521343648</v>
      </c>
      <c r="K73" s="614">
        <v>0.22109062299106919</v>
      </c>
    </row>
    <row r="74" spans="2:13">
      <c r="B74" s="210" t="s">
        <v>333</v>
      </c>
      <c r="C74" s="220" t="str">
        <f>'RFPR cover'!$C$14</f>
        <v>£m 12/13</v>
      </c>
      <c r="D74" s="773">
        <f>D71-D72-D73</f>
        <v>0</v>
      </c>
      <c r="E74" s="773">
        <f t="shared" ref="E74:G74" si="12">E71-E72-E73</f>
        <v>0</v>
      </c>
      <c r="F74" s="773">
        <f t="shared" si="12"/>
        <v>3.8982838592716007E-6</v>
      </c>
      <c r="G74" s="773">
        <f t="shared" si="12"/>
        <v>1.3627899871534694</v>
      </c>
      <c r="H74" s="774">
        <f>H71-H72-H73</f>
        <v>2.213809620407468</v>
      </c>
      <c r="I74" s="774">
        <f t="shared" ref="I74:K74" si="13">I71-I72-I73</f>
        <v>2.3822361527344427</v>
      </c>
      <c r="J74" s="774">
        <f t="shared" si="13"/>
        <v>2.724573945558431</v>
      </c>
      <c r="K74" s="774">
        <f t="shared" si="13"/>
        <v>2.8046228771331374</v>
      </c>
    </row>
    <row r="75" spans="2:13">
      <c r="B75" s="210" t="s">
        <v>122</v>
      </c>
      <c r="C75" s="220" t="str">
        <f>'RFPR cover'!$C$14</f>
        <v>£m 12/13</v>
      </c>
      <c r="D75" s="541" t="str">
        <f>IF(ABS(D71-SUM(D72:D74))&lt;'RFPR cover'!$F$14,"OK","ERROR")</f>
        <v>OK</v>
      </c>
      <c r="E75" s="542" t="str">
        <f>IF(ABS(E71-SUM(E72:E74))&lt;'RFPR cover'!$F$14,"OK","ERROR")</f>
        <v>OK</v>
      </c>
      <c r="F75" s="542" t="str">
        <f>IF(ABS(F71-SUM(F72:F74))&lt;'RFPR cover'!$F$14,"OK","ERROR")</f>
        <v>OK</v>
      </c>
      <c r="G75" s="542" t="str">
        <f>IF(ABS(G71-SUM(G72:G74))&lt;'RFPR cover'!$F$14,"OK","ERROR")</f>
        <v>OK</v>
      </c>
      <c r="H75" s="542" t="str">
        <f>IF(ABS(H71-SUM(H72:H74))&lt;'RFPR cover'!$F$14,"OK","ERROR")</f>
        <v>OK</v>
      </c>
      <c r="I75" s="542" t="str">
        <f>IF(ABS(I71-SUM(I72:I74))&lt;'RFPR cover'!$F$14,"OK","ERROR")</f>
        <v>OK</v>
      </c>
      <c r="J75" s="542" t="str">
        <f>IF(ABS(J71-SUM(J72:J74))&lt;'RFPR cover'!$F$14,"OK","ERROR")</f>
        <v>OK</v>
      </c>
      <c r="K75" s="543" t="str">
        <f>IF(ABS(K71-SUM(K72:K74))&lt;'RFPR cover'!$F$14,"OK","ERROR")</f>
        <v>OK</v>
      </c>
    </row>
    <row r="76" spans="2:13">
      <c r="B76" s="210"/>
      <c r="C76" s="210"/>
      <c r="D76" s="210"/>
      <c r="E76" s="210"/>
      <c r="F76" s="210"/>
      <c r="G76" s="210"/>
      <c r="H76" s="210"/>
      <c r="I76" s="210"/>
      <c r="J76" s="210"/>
      <c r="K76" s="210"/>
      <c r="L76" s="210"/>
      <c r="M76" s="210"/>
    </row>
    <row r="78" spans="2:13">
      <c r="B78" s="861" t="s">
        <v>434</v>
      </c>
      <c r="C78" s="861"/>
      <c r="D78" s="861"/>
      <c r="E78" s="861"/>
      <c r="F78" s="861"/>
      <c r="G78" s="861"/>
      <c r="H78" s="861"/>
      <c r="I78" s="861"/>
      <c r="J78" s="861"/>
      <c r="K78" s="861"/>
      <c r="L78" s="861"/>
    </row>
    <row r="80" spans="2:13">
      <c r="B80" s="14" t="s">
        <v>435</v>
      </c>
      <c r="C80" s="221" t="str">
        <f>'RFPR cover'!$C$14</f>
        <v>£m 12/13</v>
      </c>
      <c r="D80" s="637">
        <f t="shared" ref="D80:K80" si="14">D$69-D42</f>
        <v>0.59183175031166257</v>
      </c>
      <c r="E80" s="638">
        <f t="shared" si="14"/>
        <v>6.0869151280660212</v>
      </c>
      <c r="F80" s="638">
        <f t="shared" si="14"/>
        <v>-5.5667777533037146</v>
      </c>
      <c r="G80" s="638">
        <f t="shared" si="14"/>
        <v>-1.5139856256026558</v>
      </c>
      <c r="H80" s="638">
        <f t="shared" si="14"/>
        <v>-2.1790361029875189</v>
      </c>
      <c r="I80" s="638">
        <f t="shared" si="14"/>
        <v>-0.40257440888705176</v>
      </c>
      <c r="J80" s="638">
        <f t="shared" si="14"/>
        <v>2.1751886554550488</v>
      </c>
      <c r="K80" s="639">
        <f t="shared" si="14"/>
        <v>2.3552115749884823</v>
      </c>
    </row>
    <row r="81" spans="2:11">
      <c r="B81" s="14"/>
      <c r="C81" s="14"/>
      <c r="D81" s="14"/>
      <c r="E81" s="14"/>
      <c r="F81" s="14"/>
      <c r="G81" s="14"/>
      <c r="H81" s="14"/>
      <c r="I81" s="14"/>
      <c r="J81" s="14"/>
      <c r="K81" s="14"/>
    </row>
    <row r="82" spans="2:11">
      <c r="B82" s="14" t="s">
        <v>446</v>
      </c>
      <c r="C82" s="221" t="str">
        <f>'RFPR cover'!$C$14</f>
        <v>£m 12/13</v>
      </c>
      <c r="D82" s="637">
        <f t="shared" ref="D82:K82" si="15">D$69-D54</f>
        <v>1.2785602060042649</v>
      </c>
      <c r="E82" s="638">
        <f t="shared" si="15"/>
        <v>6.4509607940506992</v>
      </c>
      <c r="F82" s="638">
        <f t="shared" si="15"/>
        <v>-5.4188997542303561</v>
      </c>
      <c r="G82" s="638">
        <f t="shared" si="15"/>
        <v>-1.3560441591272898</v>
      </c>
      <c r="H82" s="638">
        <f t="shared" si="15"/>
        <v>-1.9878241392247737</v>
      </c>
      <c r="I82" s="638">
        <f t="shared" si="15"/>
        <v>-0.29342793260634714</v>
      </c>
      <c r="J82" s="638">
        <f t="shared" si="15"/>
        <v>2.294210450105906</v>
      </c>
      <c r="K82" s="639">
        <f t="shared" si="15"/>
        <v>2.5166723129406732</v>
      </c>
    </row>
    <row r="84" spans="2:11">
      <c r="B84" s="14" t="s">
        <v>445</v>
      </c>
      <c r="C84" s="221" t="str">
        <f>'RFPR cover'!$C$14</f>
        <v>£m 12/13</v>
      </c>
      <c r="D84" s="637">
        <f>D80-D82</f>
        <v>-0.68672845569260232</v>
      </c>
      <c r="E84" s="638">
        <f t="shared" ref="E84:K84" si="16">E80-E82</f>
        <v>-0.36404566598467802</v>
      </c>
      <c r="F84" s="638">
        <f t="shared" si="16"/>
        <v>-0.14787799907335852</v>
      </c>
      <c r="G84" s="638">
        <f t="shared" si="16"/>
        <v>-0.157941466475366</v>
      </c>
      <c r="H84" s="638">
        <f t="shared" si="16"/>
        <v>-0.19121196376274519</v>
      </c>
      <c r="I84" s="638">
        <f t="shared" si="16"/>
        <v>-0.10914647628070462</v>
      </c>
      <c r="J84" s="638">
        <f t="shared" si="16"/>
        <v>-0.11902179465085716</v>
      </c>
      <c r="K84" s="639">
        <f t="shared" si="16"/>
        <v>-0.16146073795219085</v>
      </c>
    </row>
    <row r="86" spans="2:11">
      <c r="B86" t="s">
        <v>529</v>
      </c>
      <c r="C86" s="280" t="s">
        <v>128</v>
      </c>
      <c r="D86" s="613">
        <f>-'R7 - Financing'!D85*Data!$G$20*Data!$C$34</f>
        <v>0.56949397494556464</v>
      </c>
      <c r="E86" s="613">
        <f>-'R7 - Financing'!E85*Data!$G$21*Data!$D$34</f>
        <v>-0.16950384192446549</v>
      </c>
      <c r="F86" s="613">
        <f>-'R7 - Financing'!F85*Data!$G$22*Data!$E$34</f>
        <v>-2.2954322785176506</v>
      </c>
      <c r="G86" s="613">
        <f>-'R7 - Financing'!G85*Data!$G$23*Data!$F$34</f>
        <v>-1.6420374604094372</v>
      </c>
      <c r="H86" s="613">
        <f>-'R7 - Financing'!H85*Data!$G$24*Data!$G$34</f>
        <v>-6.6510558856430271E-2</v>
      </c>
      <c r="I86" s="613">
        <f>-'R7 - Financing'!I85*Data!$G$25*Data!$H$34</f>
        <v>0.56825733597972128</v>
      </c>
      <c r="J86" s="613">
        <f>-'R7 - Financing'!J85*Data!$G$26*Data!$I$34</f>
        <v>0.43885033334491336</v>
      </c>
      <c r="K86" s="613">
        <f>-'R7 - Financing'!K85*Data!$G$27*Data!$J$34</f>
        <v>0.65267065723718787</v>
      </c>
    </row>
    <row r="87" spans="2:11">
      <c r="B87" t="s">
        <v>529</v>
      </c>
      <c r="C87" s="420" t="str">
        <f>'RFPR cover'!$C$14</f>
        <v>£m 12/13</v>
      </c>
      <c r="D87" s="813">
        <f>D86/D$40</f>
        <v>0.53709797257791425</v>
      </c>
      <c r="E87" s="813">
        <f t="shared" ref="E87:K87" si="17">E86/E$40</f>
        <v>-0.15650794183548405</v>
      </c>
      <c r="F87" s="813">
        <f t="shared" si="17"/>
        <v>-2.0429921746413573</v>
      </c>
      <c r="G87" s="813">
        <f t="shared" si="17"/>
        <v>-1.4181227343586453</v>
      </c>
      <c r="H87" s="813">
        <f t="shared" si="17"/>
        <v>-5.5971659782699412E-2</v>
      </c>
      <c r="I87" s="813">
        <f t="shared" si="17"/>
        <v>0.46530225170908324</v>
      </c>
      <c r="J87" s="813">
        <f t="shared" si="17"/>
        <v>0.34878990972157808</v>
      </c>
      <c r="K87" s="813">
        <f t="shared" si="17"/>
        <v>0.50325514624807333</v>
      </c>
    </row>
    <row r="88" spans="2:11">
      <c r="B88" t="s">
        <v>530</v>
      </c>
      <c r="C88" s="280" t="s">
        <v>128</v>
      </c>
      <c r="D88" s="613">
        <f>-'R7 - Financing'!D87*Data!$G$20*Data!$C$34</f>
        <v>1.3063084108419967</v>
      </c>
      <c r="E88" s="613">
        <f>-'R7 - Financing'!E87*Data!$G$21*Data!$D$34</f>
        <v>0.23031794410558115</v>
      </c>
      <c r="F88" s="613">
        <f>-'R7 - Financing'!F87*Data!$G$22*Data!$E$34</f>
        <v>-2.122070781483695</v>
      </c>
      <c r="G88" s="613">
        <f>-'R7 - Financing'!G87*Data!$G$23*Data!$F$34</f>
        <v>-1.448584919093584</v>
      </c>
      <c r="H88" s="613">
        <f>-'R7 - Financing'!H87*Data!$G$24*Data!$G$34</f>
        <v>0.16912262824773625</v>
      </c>
      <c r="I88" s="613">
        <f>-'R7 - Financing'!I87*Data!$G$25*Data!$H$34</f>
        <v>0.70658025754523568</v>
      </c>
      <c r="J88" s="613">
        <f>-'R7 - Financing'!J87*Data!$G$26*Data!$I$34</f>
        <v>0.59533772938554541</v>
      </c>
      <c r="K88" s="613">
        <f>-'R7 - Financing'!K87*Data!$G$27*Data!$J$34</f>
        <v>0.87191505192927865</v>
      </c>
    </row>
    <row r="89" spans="2:11">
      <c r="B89" t="s">
        <v>530</v>
      </c>
      <c r="C89" s="420" t="str">
        <f>'RFPR cover'!$C$14</f>
        <v>£m 12/13</v>
      </c>
      <c r="D89" s="813">
        <f t="shared" ref="D89:K89" si="18">D88/D$40</f>
        <v>1.2319982824959259</v>
      </c>
      <c r="E89" s="813">
        <f t="shared" si="18"/>
        <v>0.21265941226162699</v>
      </c>
      <c r="F89" s="813">
        <f t="shared" si="18"/>
        <v>-1.888696103640211</v>
      </c>
      <c r="G89" s="813">
        <f t="shared" si="18"/>
        <v>-1.2510501471162929</v>
      </c>
      <c r="H89" s="813">
        <f t="shared" si="18"/>
        <v>0.14232438236268194</v>
      </c>
      <c r="I89" s="813">
        <f t="shared" si="18"/>
        <v>0.57856425959226798</v>
      </c>
      <c r="J89" s="813">
        <f t="shared" si="18"/>
        <v>0.47316311988085785</v>
      </c>
      <c r="K89" s="813">
        <f t="shared" si="18"/>
        <v>0.67230805017652606</v>
      </c>
    </row>
    <row r="90" spans="2:11">
      <c r="B90" t="s">
        <v>533</v>
      </c>
      <c r="C90" s="420" t="str">
        <f>'RFPR cover'!$C$14</f>
        <v>£m 12/13</v>
      </c>
      <c r="D90" s="813">
        <f>D87-D89</f>
        <v>-0.69490030991801166</v>
      </c>
      <c r="E90" s="813">
        <f t="shared" ref="E90:K90" si="19">E87-E89</f>
        <v>-0.36916735409711104</v>
      </c>
      <c r="F90" s="813">
        <f t="shared" si="19"/>
        <v>-0.15429607100114628</v>
      </c>
      <c r="G90" s="813">
        <f t="shared" si="19"/>
        <v>-0.16707258724235241</v>
      </c>
      <c r="H90" s="813">
        <f t="shared" si="19"/>
        <v>-0.19829604214538135</v>
      </c>
      <c r="I90" s="813">
        <f t="shared" si="19"/>
        <v>-0.11326200788318475</v>
      </c>
      <c r="J90" s="813">
        <f t="shared" si="19"/>
        <v>-0.12437321015927977</v>
      </c>
      <c r="K90" s="813">
        <f t="shared" si="19"/>
        <v>-0.16905290392845274</v>
      </c>
    </row>
  </sheetData>
  <conditionalFormatting sqref="D6:K7">
    <cfRule type="expression" dxfId="26" priority="69">
      <formula>AND(D$6="Actuals",E$6="Forecast")</formula>
    </cfRule>
  </conditionalFormatting>
  <conditionalFormatting sqref="D5:K5">
    <cfRule type="expression" dxfId="25" priority="44">
      <formula>AND(D$5="Actuals",E$5="Forecast")</formula>
    </cfRule>
  </conditionalFormatting>
  <conditionalFormatting sqref="D37:K37">
    <cfRule type="expression" dxfId="24" priority="12">
      <formula>AND(D$5="Actuals",E$5="Actuals")</formula>
    </cfRule>
  </conditionalFormatting>
  <conditionalFormatting sqref="D12:K12 D15:K19 D24:K34">
    <cfRule type="expression" dxfId="23" priority="11">
      <formula>NOT(AND(D$5="Actuals",E$5="Actuals"))</formula>
    </cfRule>
  </conditionalFormatting>
  <pageMargins left="0.70866141732283472" right="0.70866141732283472" top="0.74803149606299213" bottom="0.74803149606299213" header="0.31496062992125984" footer="0.31496062992125984"/>
  <pageSetup paperSize="8" scale="6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80" zoomScaleNormal="80" workbookViewId="0">
      <pane ySplit="6" topLeftCell="A7" activePane="bottomLeft" state="frozen"/>
      <selection activeCell="G29" sqref="G29"/>
      <selection pane="bottomLeft" activeCell="A3" sqref="A3"/>
    </sheetView>
  </sheetViews>
  <sheetFormatPr defaultRowHeight="12.75"/>
  <cols>
    <col min="1" max="1" width="8.375" customWidth="1"/>
    <col min="2" max="2" width="83.125" bestFit="1" customWidth="1"/>
    <col min="3" max="3" width="14.125" customWidth="1"/>
    <col min="4" max="11" width="11.125" customWidth="1"/>
    <col min="12" max="12" width="5" customWidth="1"/>
    <col min="17" max="17" width="13.125" customWidth="1"/>
  </cols>
  <sheetData>
    <row r="1" spans="1:18" s="32" customFormat="1" ht="20.25">
      <c r="A1" s="122" t="s">
        <v>260</v>
      </c>
      <c r="B1" s="123"/>
      <c r="C1" s="123"/>
      <c r="D1" s="123"/>
      <c r="E1" s="123"/>
      <c r="F1" s="123"/>
      <c r="G1" s="123"/>
      <c r="H1" s="123"/>
      <c r="I1" s="131"/>
      <c r="J1" s="131"/>
      <c r="K1" s="132"/>
      <c r="L1" s="133"/>
    </row>
    <row r="2" spans="1:18" s="32" customFormat="1" ht="20.25">
      <c r="A2" s="126" t="str">
        <f>'RFPR cover'!C5</f>
        <v>WPD-SWEST</v>
      </c>
      <c r="B2" s="30"/>
      <c r="C2" s="30"/>
      <c r="D2" s="30"/>
      <c r="E2" s="30"/>
      <c r="F2" s="30"/>
      <c r="G2" s="30"/>
      <c r="H2" s="30"/>
      <c r="I2" s="27"/>
      <c r="J2" s="27"/>
      <c r="K2" s="27"/>
      <c r="L2" s="127"/>
    </row>
    <row r="3" spans="1:18" s="32" customFormat="1" ht="23.25">
      <c r="A3" s="128">
        <f>'RFPR cover'!C7</f>
        <v>2019</v>
      </c>
      <c r="B3" s="933" t="str">
        <f>'R1 - RoRE'!B3</f>
        <v/>
      </c>
      <c r="C3" s="129"/>
      <c r="D3" s="129"/>
      <c r="E3" s="129"/>
      <c r="F3" s="129"/>
      <c r="G3" s="129"/>
      <c r="H3" s="129"/>
      <c r="I3" s="29"/>
      <c r="J3" s="29"/>
      <c r="K3" s="29"/>
      <c r="L3" s="130"/>
    </row>
    <row r="4" spans="1:18" s="2" customFormat="1" ht="12.75" customHeight="1"/>
    <row r="5" spans="1:18" s="2" customFormat="1">
      <c r="B5" s="3"/>
      <c r="C5" s="3"/>
      <c r="D5" s="410" t="str">
        <f>IF(D6&lt;='RFPR cover'!$C$7,"Actuals","N/A")</f>
        <v>Actuals</v>
      </c>
      <c r="E5" s="411" t="str">
        <f>IF(E6&lt;='RFPR cover'!$C$7,"Actuals","N/A")</f>
        <v>Actuals</v>
      </c>
      <c r="F5" s="411" t="str">
        <f>IF(F6&lt;='RFPR cover'!$C$7,"Actuals","N/A")</f>
        <v>Actuals</v>
      </c>
      <c r="G5" s="411" t="str">
        <f>IF(G6&lt;='RFPR cover'!$C$7,"Actuals","N/A")</f>
        <v>Actuals</v>
      </c>
      <c r="H5" s="411" t="str">
        <f>IF(H6&lt;='RFPR cover'!$C$7,"Actuals","N/A")</f>
        <v>N/A</v>
      </c>
      <c r="I5" s="411" t="str">
        <f>IF(I6&lt;='RFPR cover'!$C$7,"Actuals","N/A")</f>
        <v>N/A</v>
      </c>
      <c r="J5" s="411" t="str">
        <f>IF(J6&lt;='RFPR cover'!$C$7,"Actuals","N/A")</f>
        <v>N/A</v>
      </c>
      <c r="K5" s="412" t="str">
        <f>IF(K6&lt;='RFPR cover'!$C$7,"Actuals","N/A")</f>
        <v>N/A</v>
      </c>
    </row>
    <row r="6" spans="1:18"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8" s="2" customFormat="1"/>
    <row r="8" spans="1:18">
      <c r="B8" s="14" t="s">
        <v>230</v>
      </c>
      <c r="C8" s="160" t="s">
        <v>128</v>
      </c>
      <c r="D8" s="665">
        <v>125.2</v>
      </c>
      <c r="E8" s="666">
        <v>24.4</v>
      </c>
      <c r="F8" s="666">
        <v>94.9</v>
      </c>
      <c r="G8" s="666">
        <v>38.6</v>
      </c>
      <c r="H8" s="666"/>
      <c r="I8" s="666"/>
      <c r="J8" s="666"/>
      <c r="K8" s="667"/>
    </row>
    <row r="9" spans="1:18">
      <c r="B9" s="15" t="s">
        <v>105</v>
      </c>
      <c r="C9" s="14"/>
      <c r="D9" s="775"/>
      <c r="E9" s="775"/>
      <c r="F9" s="775"/>
      <c r="G9" s="775"/>
      <c r="H9" s="775"/>
      <c r="I9" s="775"/>
      <c r="J9" s="775"/>
      <c r="K9" s="775"/>
    </row>
    <row r="10" spans="1:18">
      <c r="B10" s="456" t="s">
        <v>544</v>
      </c>
      <c r="C10" s="160" t="s">
        <v>128</v>
      </c>
      <c r="D10" s="621">
        <v>5.507261804362539</v>
      </c>
      <c r="E10" s="622">
        <v>0.97126222828598407</v>
      </c>
      <c r="F10" s="622">
        <v>5.34399111117727</v>
      </c>
      <c r="G10" s="622">
        <v>2.7648099392942198</v>
      </c>
      <c r="H10" s="622"/>
      <c r="I10" s="622"/>
      <c r="J10" s="622"/>
      <c r="K10" s="632"/>
    </row>
    <row r="11" spans="1:18">
      <c r="B11" s="456" t="s">
        <v>22</v>
      </c>
      <c r="C11" s="160" t="s">
        <v>128</v>
      </c>
      <c r="D11" s="623"/>
      <c r="E11" s="624"/>
      <c r="F11" s="624"/>
      <c r="G11" s="624"/>
      <c r="H11" s="624"/>
      <c r="I11" s="624"/>
      <c r="J11" s="624"/>
      <c r="K11" s="633"/>
    </row>
    <row r="12" spans="1:18">
      <c r="B12" s="456" t="s">
        <v>20</v>
      </c>
      <c r="C12" s="160" t="s">
        <v>128</v>
      </c>
      <c r="D12" s="634"/>
      <c r="E12" s="635"/>
      <c r="F12" s="635"/>
      <c r="G12" s="635"/>
      <c r="H12" s="635"/>
      <c r="I12" s="635"/>
      <c r="J12" s="635"/>
      <c r="K12" s="636"/>
      <c r="Q12" s="226"/>
    </row>
    <row r="13" spans="1:18">
      <c r="B13" s="14" t="s">
        <v>106</v>
      </c>
      <c r="C13" s="160" t="s">
        <v>128</v>
      </c>
      <c r="D13" s="764">
        <f>D8-SUM(D10:D12)</f>
        <v>119.69273819563746</v>
      </c>
      <c r="E13" s="765">
        <f t="shared" ref="E13:K13" si="1">E8-SUM(E10:E12)</f>
        <v>23.428737771714015</v>
      </c>
      <c r="F13" s="765">
        <f t="shared" si="1"/>
        <v>89.556008888822731</v>
      </c>
      <c r="G13" s="765">
        <f t="shared" si="1"/>
        <v>35.835190060705784</v>
      </c>
      <c r="H13" s="765">
        <f t="shared" si="1"/>
        <v>0</v>
      </c>
      <c r="I13" s="765">
        <f t="shared" si="1"/>
        <v>0</v>
      </c>
      <c r="J13" s="765">
        <f t="shared" si="1"/>
        <v>0</v>
      </c>
      <c r="K13" s="766">
        <f t="shared" si="1"/>
        <v>0</v>
      </c>
      <c r="R13" s="225"/>
    </row>
    <row r="14" spans="1:18">
      <c r="C14" s="14"/>
      <c r="Q14" s="226"/>
    </row>
    <row r="15" spans="1:18">
      <c r="B15" s="14" t="s">
        <v>505</v>
      </c>
      <c r="C15" s="160" t="s">
        <v>128</v>
      </c>
      <c r="D15" s="621">
        <v>0</v>
      </c>
      <c r="E15" s="622">
        <v>0</v>
      </c>
      <c r="F15" s="622">
        <v>0</v>
      </c>
      <c r="G15" s="622">
        <v>0</v>
      </c>
      <c r="H15" s="622"/>
      <c r="I15" s="622"/>
      <c r="J15" s="622"/>
      <c r="K15" s="632"/>
    </row>
  </sheetData>
  <conditionalFormatting sqref="D6:K6">
    <cfRule type="expression" dxfId="22" priority="18">
      <formula>AND(D$5="Actuals",E$5="N/A")</formula>
    </cfRule>
  </conditionalFormatting>
  <conditionalFormatting sqref="D5:K5">
    <cfRule type="expression" dxfId="21" priority="11">
      <formula>AND(D$5="Actuals",E$5="N/A")</formula>
    </cfRule>
  </conditionalFormatting>
  <conditionalFormatting sqref="H8:K8 D5:K6 D13:K13 D11:F12 H10:K12">
    <cfRule type="expression" dxfId="20" priority="10">
      <formula>D$5="N/A"</formula>
    </cfRule>
  </conditionalFormatting>
  <conditionalFormatting sqref="H15:K15">
    <cfRule type="expression" dxfId="19" priority="9">
      <formula>H$5="N/A"</formula>
    </cfRule>
  </conditionalFormatting>
  <conditionalFormatting sqref="D10:F10">
    <cfRule type="expression" dxfId="18" priority="7">
      <formula>D$5="N/A"</formula>
    </cfRule>
  </conditionalFormatting>
  <conditionalFormatting sqref="D8:F8">
    <cfRule type="expression" dxfId="17" priority="5">
      <formula>D$5="N/A"</formula>
    </cfRule>
  </conditionalFormatting>
  <conditionalFormatting sqref="G11:G12">
    <cfRule type="expression" dxfId="16" priority="4">
      <formula>G$5="N/A"</formula>
    </cfRule>
  </conditionalFormatting>
  <conditionalFormatting sqref="G10">
    <cfRule type="expression" dxfId="15" priority="3">
      <formula>G$5="N/A"</formula>
    </cfRule>
  </conditionalFormatting>
  <conditionalFormatting sqref="G8">
    <cfRule type="expression" dxfId="14" priority="2">
      <formula>G$5="N/A"</formula>
    </cfRule>
  </conditionalFormatting>
  <conditionalFormatting sqref="D15:G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80" zoomScaleNormal="80" workbookViewId="0">
      <pane ySplit="6" topLeftCell="A7" activePane="bottomLeft" state="frozen"/>
      <selection activeCell="G29" sqref="G29"/>
      <selection pane="bottomLeft" activeCell="A3" sqref="A3"/>
    </sheetView>
  </sheetViews>
  <sheetFormatPr defaultRowHeight="12.75"/>
  <cols>
    <col min="1" max="1" width="8.375" customWidth="1"/>
    <col min="2" max="2" width="82" customWidth="1"/>
    <col min="3" max="3" width="14.125" customWidth="1"/>
    <col min="4" max="11" width="11.125" customWidth="1"/>
    <col min="12" max="12" width="5" customWidth="1"/>
  </cols>
  <sheetData>
    <row r="1" spans="1:12" s="32" customFormat="1" ht="20.25">
      <c r="A1" s="268" t="s">
        <v>259</v>
      </c>
      <c r="B1" s="269"/>
      <c r="C1" s="269"/>
      <c r="D1" s="269"/>
      <c r="E1" s="269"/>
      <c r="F1" s="269"/>
      <c r="G1" s="269"/>
      <c r="H1" s="269"/>
      <c r="I1" s="270"/>
      <c r="J1" s="270"/>
      <c r="K1" s="271"/>
      <c r="L1" s="272"/>
    </row>
    <row r="2" spans="1:12" s="32" customFormat="1" ht="20.25">
      <c r="A2" s="126" t="str">
        <f>'RFPR cover'!C5</f>
        <v>WPD-SWEST</v>
      </c>
      <c r="B2" s="30"/>
      <c r="C2" s="30"/>
      <c r="D2" s="30"/>
      <c r="E2" s="30"/>
      <c r="F2" s="30"/>
      <c r="G2" s="30"/>
      <c r="H2" s="30"/>
      <c r="I2" s="27"/>
      <c r="J2" s="27"/>
      <c r="K2" s="27"/>
      <c r="L2" s="127"/>
    </row>
    <row r="3" spans="1:12" s="32" customFormat="1" ht="20.25">
      <c r="A3" s="273">
        <f>'RFPR cover'!C7</f>
        <v>2019</v>
      </c>
      <c r="B3" s="274"/>
      <c r="C3" s="274"/>
      <c r="D3" s="274"/>
      <c r="E3" s="274"/>
      <c r="F3" s="274"/>
      <c r="G3" s="274"/>
      <c r="H3" s="274"/>
      <c r="I3" s="267"/>
      <c r="J3" s="267"/>
      <c r="K3" s="267"/>
      <c r="L3" s="275"/>
    </row>
    <row r="4" spans="1:12" s="2" customFormat="1" ht="12.75" customHeight="1">
      <c r="A4" s="36"/>
      <c r="B4" s="283"/>
      <c r="C4" s="32"/>
      <c r="D4" s="284"/>
      <c r="E4" s="284"/>
      <c r="F4" s="36"/>
      <c r="G4" s="36"/>
      <c r="H4" s="36"/>
      <c r="I4" s="36"/>
      <c r="J4" s="36"/>
      <c r="K4" s="36"/>
    </row>
    <row r="5" spans="1:12" s="2" customFormat="1" ht="12.75" customHeight="1">
      <c r="A5" s="36"/>
      <c r="B5" s="283"/>
      <c r="C5" s="32"/>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2" s="2" customFormat="1">
      <c r="A6" s="36"/>
      <c r="B6" s="36"/>
      <c r="C6" s="32"/>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c r="A7" s="36"/>
      <c r="B7" s="36"/>
      <c r="C7" s="32"/>
      <c r="D7" s="32"/>
      <c r="E7" s="32"/>
      <c r="F7" s="32"/>
      <c r="G7" s="32"/>
      <c r="H7" s="32"/>
      <c r="I7" s="32"/>
      <c r="J7" s="32"/>
      <c r="K7" s="32"/>
      <c r="L7" s="32"/>
    </row>
    <row r="8" spans="1:12">
      <c r="B8" s="14" t="s">
        <v>394</v>
      </c>
      <c r="C8" s="160" t="s">
        <v>128</v>
      </c>
      <c r="D8" s="776">
        <v>51.763798323994465</v>
      </c>
      <c r="E8" s="776">
        <v>106.70276452188706</v>
      </c>
      <c r="F8" s="776">
        <v>-0.54143973712770077</v>
      </c>
      <c r="G8" s="777">
        <v>54.344982891809458</v>
      </c>
      <c r="H8" s="777"/>
      <c r="I8" s="777"/>
      <c r="J8" s="777"/>
      <c r="K8" s="778"/>
    </row>
    <row r="9" spans="1:12">
      <c r="B9" s="16" t="s">
        <v>24</v>
      </c>
      <c r="D9" s="775"/>
      <c r="E9" s="775"/>
      <c r="F9" s="775"/>
      <c r="G9" s="775"/>
      <c r="H9" s="775"/>
      <c r="I9" s="775"/>
      <c r="J9" s="775"/>
      <c r="K9" s="775"/>
    </row>
    <row r="10" spans="1:12">
      <c r="B10" t="s">
        <v>23</v>
      </c>
      <c r="C10" s="160" t="s">
        <v>128</v>
      </c>
      <c r="D10" s="704">
        <v>41.00773470345063</v>
      </c>
      <c r="E10" s="704">
        <v>84.530865224587586</v>
      </c>
      <c r="F10" s="704">
        <v>-0.82547784434206029</v>
      </c>
      <c r="G10" s="705">
        <v>42.928145704287651</v>
      </c>
      <c r="H10" s="705"/>
      <c r="I10" s="705"/>
      <c r="J10" s="705"/>
      <c r="K10" s="706"/>
    </row>
    <row r="11" spans="1:12">
      <c r="B11" t="s">
        <v>25</v>
      </c>
      <c r="C11" s="160" t="s">
        <v>128</v>
      </c>
      <c r="D11" s="704">
        <v>1.1916971284990834</v>
      </c>
      <c r="E11" s="704">
        <v>2.45649241749526</v>
      </c>
      <c r="F11" s="704">
        <v>-2.1110604009417874E-2</v>
      </c>
      <c r="G11" s="779">
        <v>-8.8552002484216935E-2</v>
      </c>
      <c r="H11" s="779"/>
      <c r="I11" s="779"/>
      <c r="J11" s="779"/>
      <c r="K11" s="780"/>
    </row>
    <row r="12" spans="1:12">
      <c r="D12" s="775"/>
      <c r="E12" s="775"/>
      <c r="F12" s="775"/>
      <c r="G12" s="775"/>
      <c r="H12" s="775"/>
      <c r="I12" s="775"/>
      <c r="J12" s="775"/>
      <c r="K12" s="775"/>
    </row>
    <row r="13" spans="1:12">
      <c r="D13" s="775"/>
      <c r="E13" s="775"/>
      <c r="F13" s="775"/>
      <c r="G13" s="775"/>
      <c r="H13" s="775"/>
      <c r="I13" s="775"/>
      <c r="J13" s="775"/>
      <c r="K13" s="775"/>
    </row>
    <row r="14" spans="1:12">
      <c r="B14" t="s">
        <v>23</v>
      </c>
      <c r="C14" s="220" t="str">
        <f>'RFPR cover'!$C$14</f>
        <v>£m 12/13</v>
      </c>
      <c r="D14" s="17">
        <f>D10/Data!C$34</f>
        <v>38.674985404966918</v>
      </c>
      <c r="E14" s="17">
        <f>E10/Data!D$34</f>
        <v>78.049863576356898</v>
      </c>
      <c r="F14" s="17">
        <f>F10/Data!E$34</f>
        <v>-0.73469594033056007</v>
      </c>
      <c r="G14" s="17">
        <f>G10/Data!F$34</f>
        <v>37.074293878734743</v>
      </c>
      <c r="H14" s="17">
        <f>H10/Data!G$34</f>
        <v>0</v>
      </c>
      <c r="I14" s="17">
        <f>I10/Data!H$34</f>
        <v>0</v>
      </c>
      <c r="J14" s="17">
        <f>J10/Data!I$34</f>
        <v>0</v>
      </c>
      <c r="K14" s="17">
        <f>K10/Data!J$34</f>
        <v>0</v>
      </c>
    </row>
    <row r="15" spans="1:12">
      <c r="D15" s="775"/>
      <c r="E15" s="775"/>
      <c r="F15" s="775"/>
      <c r="G15" s="775"/>
      <c r="H15" s="775"/>
      <c r="I15" s="775"/>
      <c r="J15" s="775"/>
      <c r="K15" s="775"/>
    </row>
    <row r="16" spans="1:12">
      <c r="D16" s="775"/>
      <c r="E16" s="775"/>
      <c r="F16" s="775"/>
      <c r="G16" s="775"/>
      <c r="H16" s="775"/>
      <c r="I16" s="775"/>
      <c r="J16" s="775"/>
      <c r="K16" s="775"/>
    </row>
    <row r="17" spans="2:11" s="2" customFormat="1">
      <c r="B17" s="14" t="s">
        <v>313</v>
      </c>
      <c r="C17" s="220" t="str">
        <f>'RFPR cover'!$C$14</f>
        <v>£m 12/13</v>
      </c>
      <c r="D17" s="911">
        <v>38.102678465092197</v>
      </c>
      <c r="E17" s="911">
        <v>38.102678465092197</v>
      </c>
      <c r="F17" s="911">
        <v>38.102678465092197</v>
      </c>
      <c r="G17" s="911">
        <v>38.096387397332229</v>
      </c>
      <c r="H17" s="911">
        <v>38.096387397332229</v>
      </c>
      <c r="I17" s="911">
        <v>38.096387397332229</v>
      </c>
      <c r="J17" s="911">
        <v>38.096387397332229</v>
      </c>
      <c r="K17" s="911">
        <v>28.271333543935324</v>
      </c>
    </row>
    <row r="18" spans="2:11" s="2" customFormat="1">
      <c r="B18" s="210" t="s">
        <v>314</v>
      </c>
      <c r="C18" s="220" t="str">
        <f>'RFPR cover'!$C$14</f>
        <v>£m 12/13</v>
      </c>
      <c r="D18" s="911">
        <v>1.7436112179257888</v>
      </c>
      <c r="E18" s="911">
        <v>1.7436112179257888</v>
      </c>
      <c r="F18" s="911">
        <v>1.7436112179257888</v>
      </c>
      <c r="G18" s="911">
        <v>1.73732015016582</v>
      </c>
      <c r="H18" s="911">
        <v>1.73732015016582</v>
      </c>
      <c r="I18" s="911">
        <v>1.73732015016582</v>
      </c>
      <c r="J18" s="911">
        <v>1.73732015016582</v>
      </c>
      <c r="K18" s="911">
        <v>7.6973201501658197</v>
      </c>
    </row>
    <row r="19" spans="2:11" s="2" customFormat="1">
      <c r="B19" s="14" t="s">
        <v>315</v>
      </c>
      <c r="C19" s="220" t="str">
        <f>'RFPR cover'!$C$14</f>
        <v>£m 12/13</v>
      </c>
      <c r="D19" s="17">
        <f>D17-D18</f>
        <v>36.359067247166408</v>
      </c>
      <c r="E19" s="17">
        <f t="shared" ref="E19:K19" si="1">E17-E18</f>
        <v>36.359067247166408</v>
      </c>
      <c r="F19" s="17">
        <f t="shared" si="1"/>
        <v>36.359067247166408</v>
      </c>
      <c r="G19" s="17">
        <f t="shared" si="1"/>
        <v>36.359067247166408</v>
      </c>
      <c r="H19" s="17">
        <f t="shared" si="1"/>
        <v>36.359067247166408</v>
      </c>
      <c r="I19" s="17">
        <f t="shared" si="1"/>
        <v>36.359067247166408</v>
      </c>
      <c r="J19" s="17">
        <f t="shared" si="1"/>
        <v>36.359067247166408</v>
      </c>
      <c r="K19" s="17">
        <f t="shared" si="1"/>
        <v>20.574013393769505</v>
      </c>
    </row>
    <row r="20" spans="2:11" s="2" customFormat="1">
      <c r="B20" s="14"/>
      <c r="C20" s="14"/>
      <c r="D20" s="14"/>
      <c r="E20" s="14"/>
      <c r="F20" s="14"/>
      <c r="G20" s="14"/>
      <c r="H20" s="14"/>
      <c r="I20" s="14"/>
      <c r="J20" s="14"/>
      <c r="K20" s="14"/>
    </row>
    <row r="21" spans="2:11" s="2" customFormat="1">
      <c r="B21" s="14"/>
      <c r="C21" s="14"/>
      <c r="D21" s="992" t="s">
        <v>118</v>
      </c>
      <c r="E21" s="14"/>
      <c r="F21" s="14"/>
      <c r="G21" s="14"/>
      <c r="H21" s="14"/>
      <c r="I21" s="14"/>
      <c r="J21" s="14"/>
      <c r="K21" s="14"/>
    </row>
    <row r="22" spans="2:11" s="2" customFormat="1" ht="12.75" customHeight="1">
      <c r="B22" s="14"/>
      <c r="C22" s="14"/>
      <c r="D22" s="993"/>
      <c r="E22" s="14"/>
      <c r="F22" s="14"/>
      <c r="G22" s="14"/>
      <c r="H22" s="14"/>
      <c r="I22" s="14"/>
      <c r="J22" s="14"/>
      <c r="K22" s="14"/>
    </row>
    <row r="23" spans="2:11">
      <c r="C23" s="14"/>
      <c r="D23" s="994"/>
      <c r="E23" s="14"/>
    </row>
    <row r="24" spans="2:11">
      <c r="B24" s="14" t="s">
        <v>117</v>
      </c>
      <c r="C24" s="14"/>
      <c r="D24" s="549">
        <v>42460</v>
      </c>
    </row>
    <row r="25" spans="2:11">
      <c r="B25" s="14"/>
      <c r="C25" s="14"/>
      <c r="D25" s="41"/>
      <c r="E25" s="42"/>
      <c r="F25" s="42"/>
    </row>
    <row r="26" spans="2:11">
      <c r="B26" s="210" t="s">
        <v>312</v>
      </c>
      <c r="C26" s="14"/>
      <c r="D26" s="381" t="s">
        <v>77</v>
      </c>
      <c r="E26" s="42"/>
      <c r="F26" s="42"/>
    </row>
    <row r="27" spans="2:11">
      <c r="B27" s="210"/>
      <c r="C27" s="14"/>
      <c r="D27" s="41"/>
      <c r="E27" s="42"/>
      <c r="F27" s="42"/>
    </row>
    <row r="28" spans="2:11">
      <c r="B28" s="14"/>
      <c r="D28" s="380" t="s">
        <v>282</v>
      </c>
      <c r="E28" s="42"/>
      <c r="F28" s="42"/>
    </row>
    <row r="29" spans="2:11">
      <c r="B29" t="s">
        <v>26</v>
      </c>
      <c r="D29" s="781">
        <v>200.01971999999998</v>
      </c>
    </row>
    <row r="30" spans="2:11">
      <c r="B30" t="s">
        <v>27</v>
      </c>
      <c r="D30" s="781">
        <v>2093.9802800000002</v>
      </c>
    </row>
    <row r="31" spans="2:11">
      <c r="D31" s="775"/>
    </row>
    <row r="32" spans="2:11">
      <c r="B32" t="s">
        <v>28</v>
      </c>
      <c r="D32" s="781">
        <v>201.00000000000003</v>
      </c>
    </row>
    <row r="33" spans="2:4">
      <c r="B33" t="s">
        <v>29</v>
      </c>
      <c r="D33" s="781">
        <v>1586</v>
      </c>
    </row>
    <row r="34" spans="2:4">
      <c r="D34" s="775"/>
    </row>
    <row r="35" spans="2:4">
      <c r="B35" s="44" t="s">
        <v>31</v>
      </c>
      <c r="D35" s="17">
        <f>D29-D32</f>
        <v>-0.98028000000005022</v>
      </c>
    </row>
    <row r="36" spans="2:4">
      <c r="B36" s="44" t="s">
        <v>30</v>
      </c>
      <c r="D36" s="17">
        <f>D30-D33</f>
        <v>507.98028000000022</v>
      </c>
    </row>
    <row r="37" spans="2:4">
      <c r="D37" s="775"/>
    </row>
    <row r="38" spans="2:4">
      <c r="B38" t="s">
        <v>32</v>
      </c>
      <c r="D38" s="781">
        <v>314.59113599414957</v>
      </c>
    </row>
    <row r="39" spans="2:4">
      <c r="B39" t="s">
        <v>33</v>
      </c>
      <c r="D39" s="781">
        <v>-0.5677801461908305</v>
      </c>
    </row>
  </sheetData>
  <mergeCells count="1">
    <mergeCell ref="D21:D23"/>
  </mergeCells>
  <conditionalFormatting sqref="D6:J6">
    <cfRule type="expression" dxfId="12" priority="16">
      <formula>AND(D$4="Actuals",E$4="Forecast")</formula>
    </cfRule>
  </conditionalFormatting>
  <conditionalFormatting sqref="G11:K11">
    <cfRule type="expression" dxfId="11" priority="10">
      <formula>G$5="Forecast"</formula>
    </cfRule>
    <cfRule type="expression" dxfId="10" priority="11">
      <formula>G$5="Actuals"</formula>
    </cfRule>
  </conditionalFormatting>
  <conditionalFormatting sqref="D8:K8">
    <cfRule type="expression" dxfId="9" priority="14">
      <formula>D$5="Forecast"</formula>
    </cfRule>
    <cfRule type="expression" dxfId="8" priority="15">
      <formula>D$5="Actuals"</formula>
    </cfRule>
  </conditionalFormatting>
  <conditionalFormatting sqref="G10:K10 D10:F11">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80" zoomScaleNormal="80" workbookViewId="0">
      <pane ySplit="6" topLeftCell="A7" activePane="bottomLeft" state="frozen"/>
      <selection activeCell="G29" sqref="G29"/>
      <selection pane="bottomLeft" activeCell="A3" sqref="A3"/>
    </sheetView>
  </sheetViews>
  <sheetFormatPr defaultRowHeight="12.75"/>
  <cols>
    <col min="1" max="1" width="8.375" customWidth="1"/>
    <col min="2" max="2" width="70.75" customWidth="1"/>
    <col min="3" max="3" width="14.125" customWidth="1"/>
    <col min="4" max="11" width="11.125" customWidth="1"/>
    <col min="12" max="12" width="5" customWidth="1"/>
  </cols>
  <sheetData>
    <row r="1" spans="1:19" s="32" customFormat="1" ht="20.25">
      <c r="A1" s="382" t="s">
        <v>258</v>
      </c>
      <c r="B1" s="269"/>
      <c r="C1" s="269"/>
      <c r="D1" s="269"/>
      <c r="E1" s="269"/>
      <c r="F1" s="269"/>
      <c r="G1" s="269"/>
      <c r="H1" s="269"/>
      <c r="I1" s="270"/>
      <c r="J1" s="270"/>
      <c r="K1" s="271"/>
      <c r="L1" s="383"/>
      <c r="M1" s="34"/>
      <c r="N1" s="34"/>
      <c r="O1" s="33" t="s">
        <v>84</v>
      </c>
      <c r="P1" s="34"/>
      <c r="Q1" s="34"/>
      <c r="R1" s="34"/>
      <c r="S1" s="34"/>
    </row>
    <row r="2" spans="1:19" s="32" customFormat="1" ht="20.25">
      <c r="A2" s="126" t="str">
        <f>'RFPR cover'!C5</f>
        <v>WPD-SWEST</v>
      </c>
      <c r="B2" s="30"/>
      <c r="C2" s="30"/>
      <c r="D2" s="30"/>
      <c r="E2" s="30"/>
      <c r="F2" s="30"/>
      <c r="G2" s="30"/>
      <c r="H2" s="30"/>
      <c r="I2" s="27"/>
      <c r="J2" s="27"/>
      <c r="K2" s="27"/>
      <c r="L2" s="127"/>
      <c r="M2" s="34"/>
      <c r="N2" s="34"/>
      <c r="O2" s="33" t="s">
        <v>84</v>
      </c>
      <c r="P2" s="34"/>
      <c r="Q2" s="34"/>
      <c r="R2" s="34"/>
      <c r="S2" s="34"/>
    </row>
    <row r="3" spans="1:19" s="32" customFormat="1" ht="20.25">
      <c r="A3" s="273">
        <f>'RFPR cover'!C7</f>
        <v>2019</v>
      </c>
      <c r="B3" s="274"/>
      <c r="C3" s="274"/>
      <c r="D3" s="274"/>
      <c r="E3" s="274"/>
      <c r="F3" s="274"/>
      <c r="G3" s="274"/>
      <c r="H3" s="274"/>
      <c r="I3" s="267"/>
      <c r="J3" s="267"/>
      <c r="K3" s="267"/>
      <c r="L3" s="275"/>
      <c r="M3" s="34"/>
      <c r="N3" s="34"/>
      <c r="O3" s="33" t="s">
        <v>84</v>
      </c>
      <c r="P3" s="34"/>
      <c r="Q3" s="34"/>
      <c r="R3" s="34"/>
      <c r="S3" s="34"/>
    </row>
    <row r="4" spans="1:19" s="2" customFormat="1" ht="12.75" customHeight="1">
      <c r="M4" s="34"/>
      <c r="N4" s="34"/>
      <c r="O4" s="33" t="s">
        <v>84</v>
      </c>
      <c r="P4" s="34"/>
      <c r="Q4" s="34"/>
      <c r="R4" s="34"/>
      <c r="S4" s="34"/>
    </row>
    <row r="5" spans="1:19" s="2" customFormat="1" ht="12.75" customHeight="1">
      <c r="B5" s="3"/>
      <c r="C5" s="3"/>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c r="M5" s="34"/>
      <c r="N5" s="34"/>
      <c r="O5" s="33" t="s">
        <v>84</v>
      </c>
      <c r="P5" s="34"/>
      <c r="Q5" s="34"/>
      <c r="R5" s="34"/>
      <c r="S5" s="34"/>
    </row>
    <row r="6" spans="1:19" s="2" customFormat="1">
      <c r="C6" s="14"/>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9">
      <c r="D7" s="785"/>
      <c r="E7" s="785"/>
      <c r="F7" s="785"/>
      <c r="G7" s="785"/>
      <c r="H7" s="785"/>
      <c r="I7" s="785"/>
      <c r="J7" s="785"/>
      <c r="K7" s="785"/>
    </row>
    <row r="8" spans="1:19">
      <c r="B8" s="52" t="s">
        <v>468</v>
      </c>
      <c r="C8" s="220" t="str">
        <f>'RFPR cover'!$C$14</f>
        <v>£m 12/13</v>
      </c>
      <c r="D8" s="782">
        <f>(D16+D21)/Data!C34</f>
        <v>3.6058658998662466E-2</v>
      </c>
      <c r="E8" s="782">
        <f>(E16+E21)/Data!D34</f>
        <v>3.8447451243811125E-2</v>
      </c>
      <c r="F8" s="782">
        <f>(F16+F21)/Data!E34</f>
        <v>3.6947163914836961E-2</v>
      </c>
      <c r="G8" s="782">
        <f>(G16+G21)/Data!F34</f>
        <v>5.1371101367592875E-2</v>
      </c>
      <c r="H8" s="782">
        <f>(H16+H21)/Data!G34</f>
        <v>3.8262310332400233E-2</v>
      </c>
      <c r="I8" s="782">
        <f>(I16+I21)/Data!H34</f>
        <v>3.8148439538476644E-2</v>
      </c>
      <c r="J8" s="782">
        <f>(J16+J21)/Data!I34</f>
        <v>3.7028332480928558E-2</v>
      </c>
      <c r="K8" s="782">
        <f>(K16+K21)/Data!J34</f>
        <v>3.5923679341187051E-2</v>
      </c>
    </row>
    <row r="9" spans="1:19">
      <c r="D9" s="785"/>
      <c r="E9" s="785"/>
      <c r="F9" s="785"/>
      <c r="G9" s="785"/>
      <c r="H9" s="785"/>
      <c r="I9" s="785"/>
      <c r="J9" s="785"/>
      <c r="K9" s="785"/>
    </row>
    <row r="10" spans="1:19">
      <c r="B10" s="14" t="s">
        <v>452</v>
      </c>
      <c r="D10" s="785"/>
      <c r="E10" s="785"/>
      <c r="F10" s="785"/>
      <c r="G10" s="785"/>
      <c r="H10" s="785"/>
      <c r="I10" s="785"/>
      <c r="J10" s="785"/>
      <c r="K10" s="785"/>
    </row>
    <row r="11" spans="1:19">
      <c r="B11" s="45" t="s">
        <v>36</v>
      </c>
      <c r="C11" s="160" t="s">
        <v>128</v>
      </c>
      <c r="D11" s="665">
        <v>0</v>
      </c>
      <c r="E11" s="666">
        <v>0</v>
      </c>
      <c r="F11" s="666">
        <v>0</v>
      </c>
      <c r="G11" s="666">
        <v>0</v>
      </c>
      <c r="H11" s="666">
        <v>0</v>
      </c>
      <c r="I11" s="666">
        <v>0</v>
      </c>
      <c r="J11" s="666">
        <v>0</v>
      </c>
      <c r="K11" s="667">
        <v>0</v>
      </c>
    </row>
    <row r="12" spans="1:19">
      <c r="B12" s="45" t="s">
        <v>36</v>
      </c>
      <c r="C12" s="160" t="s">
        <v>128</v>
      </c>
      <c r="D12" s="665">
        <v>0</v>
      </c>
      <c r="E12" s="666">
        <v>0</v>
      </c>
      <c r="F12" s="666">
        <v>0</v>
      </c>
      <c r="G12" s="666">
        <v>0</v>
      </c>
      <c r="H12" s="666">
        <v>0</v>
      </c>
      <c r="I12" s="666">
        <v>0</v>
      </c>
      <c r="J12" s="666">
        <v>0</v>
      </c>
      <c r="K12" s="667">
        <v>0</v>
      </c>
    </row>
    <row r="13" spans="1:19">
      <c r="B13" s="45" t="s">
        <v>20</v>
      </c>
      <c r="C13" s="160" t="s">
        <v>128</v>
      </c>
      <c r="D13" s="665">
        <v>0</v>
      </c>
      <c r="E13" s="666">
        <v>0</v>
      </c>
      <c r="F13" s="666">
        <v>0</v>
      </c>
      <c r="G13" s="666">
        <v>0</v>
      </c>
      <c r="H13" s="666">
        <v>0</v>
      </c>
      <c r="I13" s="666">
        <v>0</v>
      </c>
      <c r="J13" s="666">
        <v>0</v>
      </c>
      <c r="K13" s="667">
        <v>0</v>
      </c>
    </row>
    <row r="14" spans="1:19">
      <c r="B14" s="14" t="s">
        <v>465</v>
      </c>
      <c r="C14" s="160" t="s">
        <v>128</v>
      </c>
      <c r="D14" s="782">
        <f>SUM(D11:D13)</f>
        <v>0</v>
      </c>
      <c r="E14" s="783">
        <f t="shared" ref="E14:K14" si="1">SUM(E11:E13)</f>
        <v>0</v>
      </c>
      <c r="F14" s="783">
        <f t="shared" si="1"/>
        <v>0</v>
      </c>
      <c r="G14" s="783">
        <f t="shared" si="1"/>
        <v>0</v>
      </c>
      <c r="H14" s="783">
        <f t="shared" si="1"/>
        <v>0</v>
      </c>
      <c r="I14" s="783">
        <f t="shared" si="1"/>
        <v>0</v>
      </c>
      <c r="J14" s="783">
        <f t="shared" si="1"/>
        <v>0</v>
      </c>
      <c r="K14" s="784">
        <f t="shared" si="1"/>
        <v>0</v>
      </c>
    </row>
    <row r="15" spans="1:19">
      <c r="B15" s="36" t="s">
        <v>459</v>
      </c>
      <c r="C15" s="160" t="s">
        <v>128</v>
      </c>
      <c r="D15" s="665">
        <v>0</v>
      </c>
      <c r="E15" s="666">
        <v>0</v>
      </c>
      <c r="F15" s="666">
        <v>0</v>
      </c>
      <c r="G15" s="666">
        <v>0</v>
      </c>
      <c r="H15" s="666">
        <v>0</v>
      </c>
      <c r="I15" s="666">
        <v>0</v>
      </c>
      <c r="J15" s="666">
        <v>0</v>
      </c>
      <c r="K15" s="667">
        <v>0</v>
      </c>
    </row>
    <row r="16" spans="1:19">
      <c r="B16" s="52" t="s">
        <v>466</v>
      </c>
      <c r="C16" s="160" t="s">
        <v>128</v>
      </c>
      <c r="D16" s="782">
        <f>D14-D15</f>
        <v>0</v>
      </c>
      <c r="E16" s="782">
        <f t="shared" ref="E16:K16" si="2">E14-E15</f>
        <v>0</v>
      </c>
      <c r="F16" s="782">
        <f t="shared" si="2"/>
        <v>0</v>
      </c>
      <c r="G16" s="782">
        <f t="shared" si="2"/>
        <v>0</v>
      </c>
      <c r="H16" s="782">
        <f t="shared" si="2"/>
        <v>0</v>
      </c>
      <c r="I16" s="782">
        <f t="shared" si="2"/>
        <v>0</v>
      </c>
      <c r="J16" s="782">
        <f t="shared" si="2"/>
        <v>0</v>
      </c>
      <c r="K16" s="782">
        <f t="shared" si="2"/>
        <v>0</v>
      </c>
    </row>
    <row r="18" spans="2:11">
      <c r="B18" s="14" t="s">
        <v>463</v>
      </c>
      <c r="D18" s="785"/>
      <c r="E18" s="785"/>
      <c r="F18" s="785"/>
      <c r="G18" s="785"/>
      <c r="H18" s="785"/>
      <c r="I18" s="785"/>
      <c r="J18" s="785"/>
      <c r="K18" s="785"/>
    </row>
    <row r="19" spans="2:11">
      <c r="B19" s="871" t="s">
        <v>464</v>
      </c>
      <c r="C19" s="160" t="s">
        <v>128</v>
      </c>
      <c r="D19" s="665">
        <v>4.7792000000000001E-2</v>
      </c>
      <c r="E19" s="666">
        <v>5.2049999999999999E-2</v>
      </c>
      <c r="F19" s="666">
        <v>5.1249999999999997E-2</v>
      </c>
      <c r="G19" s="666">
        <v>7.3435E-2</v>
      </c>
      <c r="H19" s="666">
        <f>AVERAGE($D$19:$G$19)</f>
        <v>5.6131750000000001E-2</v>
      </c>
      <c r="I19" s="666">
        <f t="shared" ref="I19:K19" si="3">AVERAGE($D$19:$G$19)</f>
        <v>5.6131750000000001E-2</v>
      </c>
      <c r="J19" s="666">
        <f t="shared" si="3"/>
        <v>5.6131750000000001E-2</v>
      </c>
      <c r="K19" s="667">
        <f t="shared" si="3"/>
        <v>5.6131750000000001E-2</v>
      </c>
    </row>
    <row r="20" spans="2:11">
      <c r="B20" s="36" t="s">
        <v>459</v>
      </c>
      <c r="C20" s="160" t="s">
        <v>128</v>
      </c>
      <c r="D20" s="665">
        <v>9.5584000000000016E-3</v>
      </c>
      <c r="E20" s="666">
        <v>1.0410000000000001E-2</v>
      </c>
      <c r="F20" s="666">
        <v>9.7374999999999996E-3</v>
      </c>
      <c r="G20" s="666">
        <f>+G19*Data!$G$23</f>
        <v>1.395265E-2</v>
      </c>
      <c r="H20" s="666">
        <f>+H19*Data!$G$24</f>
        <v>1.0665032500000001E-2</v>
      </c>
      <c r="I20" s="666">
        <f>+I19*Data!$G$25</f>
        <v>9.5423975000000008E-3</v>
      </c>
      <c r="J20" s="666">
        <f>+J19*Data!$G$26</f>
        <v>9.5423975000000008E-3</v>
      </c>
      <c r="K20" s="667">
        <f>+K19*Data!$G$27</f>
        <v>9.5423975000000008E-3</v>
      </c>
    </row>
    <row r="21" spans="2:11">
      <c r="B21" s="52" t="s">
        <v>467</v>
      </c>
      <c r="C21" s="160" t="s">
        <v>128</v>
      </c>
      <c r="D21" s="782">
        <f>D19-D20</f>
        <v>3.82336E-2</v>
      </c>
      <c r="E21" s="782">
        <f t="shared" ref="E21:K21" si="4">E19-E20</f>
        <v>4.1639999999999996E-2</v>
      </c>
      <c r="F21" s="782">
        <f t="shared" si="4"/>
        <v>4.1512499999999994E-2</v>
      </c>
      <c r="G21" s="782">
        <f t="shared" si="4"/>
        <v>5.9482350000000003E-2</v>
      </c>
      <c r="H21" s="782">
        <f t="shared" si="4"/>
        <v>4.5466717500000003E-2</v>
      </c>
      <c r="I21" s="782">
        <f t="shared" si="4"/>
        <v>4.65893525E-2</v>
      </c>
      <c r="J21" s="782">
        <f t="shared" si="4"/>
        <v>4.65893525E-2</v>
      </c>
      <c r="K21" s="782">
        <f t="shared" si="4"/>
        <v>4.65893525E-2</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view="pageBreakPreview" zoomScale="80" zoomScaleNormal="60" zoomScaleSheetLayoutView="80" workbookViewId="0">
      <pane ySplit="4" topLeftCell="A5" activePane="bottomLeft" state="frozen"/>
      <selection activeCell="G29" sqref="G29"/>
      <selection pane="bottomLeft" activeCell="A3" sqref="A3"/>
    </sheetView>
  </sheetViews>
  <sheetFormatPr defaultRowHeight="12.75"/>
  <cols>
    <col min="1" max="1" width="8.375" customWidth="1"/>
    <col min="2" max="2" width="35.125" customWidth="1"/>
    <col min="8" max="8" width="10.125" bestFit="1" customWidth="1"/>
    <col min="14" max="14" width="9" customWidth="1"/>
  </cols>
  <sheetData>
    <row r="1" spans="1:14" ht="20.25">
      <c r="A1" s="382" t="s">
        <v>376</v>
      </c>
      <c r="B1" s="429"/>
      <c r="C1" s="429"/>
      <c r="D1" s="429"/>
      <c r="E1" s="429"/>
      <c r="F1" s="429"/>
      <c r="G1" s="429"/>
      <c r="H1" s="429"/>
      <c r="I1" s="429"/>
      <c r="J1" s="429"/>
      <c r="K1" s="429"/>
      <c r="L1" s="429"/>
      <c r="M1" s="429"/>
      <c r="N1" s="430"/>
    </row>
    <row r="2" spans="1:14" ht="20.25">
      <c r="A2" s="126" t="str">
        <f>'RFPR cover'!C5</f>
        <v>WPD-SWEST</v>
      </c>
      <c r="B2" s="314"/>
      <c r="C2" s="314"/>
      <c r="D2" s="314"/>
      <c r="E2" s="314"/>
      <c r="F2" s="314"/>
      <c r="G2" s="314"/>
      <c r="H2" s="314"/>
      <c r="I2" s="314"/>
      <c r="J2" s="314"/>
      <c r="K2" s="314"/>
      <c r="L2" s="314"/>
      <c r="M2" s="314"/>
      <c r="N2" s="315"/>
    </row>
    <row r="3" spans="1:14" ht="20.25">
      <c r="A3" s="273">
        <f>'RFPR cover'!C7</f>
        <v>2019</v>
      </c>
      <c r="B3" s="316"/>
      <c r="C3" s="316"/>
      <c r="D3" s="316"/>
      <c r="E3" s="316"/>
      <c r="F3" s="316"/>
      <c r="G3" s="316"/>
      <c r="H3" s="316"/>
      <c r="I3" s="316"/>
      <c r="J3" s="316"/>
      <c r="K3" s="316"/>
      <c r="L3" s="316"/>
      <c r="M3" s="316"/>
      <c r="N3" s="317"/>
    </row>
    <row r="6" spans="1:14">
      <c r="A6" s="31"/>
      <c r="B6" s="21">
        <v>2018</v>
      </c>
      <c r="C6" s="20" t="s">
        <v>63</v>
      </c>
      <c r="D6" s="18"/>
      <c r="E6" s="18"/>
      <c r="F6" s="868"/>
      <c r="G6" s="18"/>
    </row>
    <row r="7" spans="1:14">
      <c r="A7" s="31"/>
      <c r="B7" s="21">
        <v>2019</v>
      </c>
      <c r="C7" s="20" t="s">
        <v>64</v>
      </c>
      <c r="D7" s="18"/>
      <c r="E7" s="18"/>
      <c r="F7" s="18"/>
      <c r="G7" s="18"/>
    </row>
    <row r="8" spans="1:14">
      <c r="A8" s="31"/>
      <c r="B8" s="21">
        <v>2020</v>
      </c>
      <c r="C8" s="20" t="s">
        <v>65</v>
      </c>
      <c r="D8" s="19"/>
      <c r="E8" s="19"/>
      <c r="F8" s="19"/>
      <c r="G8" s="19"/>
    </row>
    <row r="9" spans="1:14">
      <c r="A9" s="31"/>
      <c r="B9" s="21">
        <v>2021</v>
      </c>
      <c r="C9" s="20" t="s">
        <v>66</v>
      </c>
      <c r="D9" s="18"/>
      <c r="E9" s="18"/>
      <c r="F9" s="18"/>
      <c r="G9" s="18"/>
    </row>
    <row r="10" spans="1:14">
      <c r="A10" s="31"/>
      <c r="B10" s="21">
        <v>2022</v>
      </c>
      <c r="C10" s="20" t="s">
        <v>67</v>
      </c>
      <c r="D10" s="18"/>
      <c r="E10" s="18"/>
      <c r="F10" s="18"/>
    </row>
    <row r="11" spans="1:14">
      <c r="A11" s="31"/>
      <c r="B11" s="21">
        <v>2023</v>
      </c>
      <c r="C11" s="20" t="s">
        <v>68</v>
      </c>
      <c r="D11" s="19"/>
      <c r="E11" s="19"/>
      <c r="F11" s="19"/>
    </row>
    <row r="12" spans="1:14">
      <c r="A12" s="31"/>
      <c r="B12" s="18"/>
      <c r="C12" s="18"/>
      <c r="D12" s="18"/>
      <c r="E12" s="18"/>
      <c r="F12" s="18"/>
    </row>
    <row r="13" spans="1:14" ht="75" customHeight="1">
      <c r="A13" s="31"/>
      <c r="B13" s="578" t="s">
        <v>39</v>
      </c>
      <c r="C13" s="579" t="s">
        <v>40</v>
      </c>
      <c r="D13" s="579" t="s">
        <v>192</v>
      </c>
      <c r="E13" s="579" t="s">
        <v>41</v>
      </c>
      <c r="F13" s="579" t="s">
        <v>42</v>
      </c>
      <c r="G13" s="580" t="s">
        <v>320</v>
      </c>
    </row>
    <row r="14" spans="1:14">
      <c r="A14" s="31"/>
      <c r="B14" s="170" t="s">
        <v>74</v>
      </c>
      <c r="C14" s="178">
        <v>2010</v>
      </c>
      <c r="D14" s="171" t="str">
        <f>IF(VALUE(C14)&lt;='RFPR cover'!$C$7,"Actual","Forecast")</f>
        <v>Actual</v>
      </c>
      <c r="E14" s="394">
        <v>215.767</v>
      </c>
      <c r="F14" s="524">
        <v>221.75</v>
      </c>
      <c r="G14" s="172">
        <v>0.28000000000000003</v>
      </c>
      <c r="H14" s="869"/>
      <c r="J14" s="870"/>
    </row>
    <row r="15" spans="1:14">
      <c r="A15" s="31"/>
      <c r="B15" s="173" t="s">
        <v>75</v>
      </c>
      <c r="C15" s="179">
        <v>2011</v>
      </c>
      <c r="D15" s="174" t="str">
        <f>IF(VALUE(C15)&lt;='RFPR cover'!$C$7,"Actual","Forecast")</f>
        <v>Actual</v>
      </c>
      <c r="E15" s="395">
        <v>226.47499999999999</v>
      </c>
      <c r="F15" s="525">
        <v>233.45</v>
      </c>
      <c r="G15" s="175">
        <v>0.28000000000000003</v>
      </c>
      <c r="H15" s="869"/>
      <c r="J15" s="870"/>
    </row>
    <row r="16" spans="1:14" ht="14.25" customHeight="1">
      <c r="A16" s="31"/>
      <c r="B16" s="173" t="s">
        <v>76</v>
      </c>
      <c r="C16" s="179">
        <v>2012</v>
      </c>
      <c r="D16" s="174" t="str">
        <f>IF(VALUE(C16)&lt;='RFPR cover'!$C$7,"Actual","Forecast")</f>
        <v>Actual</v>
      </c>
      <c r="E16" s="395">
        <v>237.34200000000001</v>
      </c>
      <c r="F16" s="525">
        <v>241.65</v>
      </c>
      <c r="G16" s="175">
        <v>0.26</v>
      </c>
      <c r="H16" s="869"/>
      <c r="J16" s="870"/>
    </row>
    <row r="17" spans="2:10">
      <c r="B17" s="173" t="s">
        <v>77</v>
      </c>
      <c r="C17" s="179">
        <v>2013</v>
      </c>
      <c r="D17" s="174" t="str">
        <f>IF(VALUE(C17)&lt;='RFPR cover'!$C$7,"Actual","Forecast")</f>
        <v>Actual</v>
      </c>
      <c r="E17" s="395">
        <v>244.67500000000001</v>
      </c>
      <c r="F17" s="525">
        <v>249.1</v>
      </c>
      <c r="G17" s="175">
        <v>0.24</v>
      </c>
      <c r="H17" s="869"/>
      <c r="J17" s="870"/>
    </row>
    <row r="18" spans="2:10">
      <c r="B18" s="173" t="s">
        <v>78</v>
      </c>
      <c r="C18" s="179">
        <v>2014</v>
      </c>
      <c r="D18" s="174" t="str">
        <f>IF(VALUE(C18)&lt;='RFPR cover'!$C$7,"Actual","Forecast")</f>
        <v>Actual</v>
      </c>
      <c r="E18" s="395">
        <v>251.733</v>
      </c>
      <c r="F18" s="525">
        <v>255.25</v>
      </c>
      <c r="G18" s="175">
        <v>0.23</v>
      </c>
      <c r="H18" s="869"/>
      <c r="I18" s="544"/>
      <c r="J18" s="870"/>
    </row>
    <row r="19" spans="2:10">
      <c r="B19" s="173" t="s">
        <v>79</v>
      </c>
      <c r="C19" s="179">
        <v>2015</v>
      </c>
      <c r="D19" s="174" t="str">
        <f>IF(VALUE(C19)&lt;='RFPR cover'!$C$7,"Actual","Forecast")</f>
        <v>Actual</v>
      </c>
      <c r="E19" s="395">
        <v>256.66699999999997</v>
      </c>
      <c r="F19" s="525">
        <v>257.55</v>
      </c>
      <c r="G19" s="175">
        <v>0.21</v>
      </c>
      <c r="H19" s="869"/>
      <c r="I19" s="544"/>
      <c r="J19" s="870"/>
    </row>
    <row r="20" spans="2:10">
      <c r="B20" s="173" t="s">
        <v>80</v>
      </c>
      <c r="C20" s="179">
        <v>2016</v>
      </c>
      <c r="D20" s="174" t="str">
        <f>IF(VALUE(C20)&lt;='RFPR cover'!$C$7,"Actual","Forecast")</f>
        <v>Actual</v>
      </c>
      <c r="E20" s="395">
        <v>259.43299999999999</v>
      </c>
      <c r="F20" s="525">
        <v>261.25</v>
      </c>
      <c r="G20" s="175">
        <v>0.2</v>
      </c>
      <c r="H20" s="869"/>
      <c r="I20" s="544"/>
      <c r="J20" s="870"/>
    </row>
    <row r="21" spans="2:10">
      <c r="B21" s="173" t="s">
        <v>81</v>
      </c>
      <c r="C21" s="179">
        <v>2017</v>
      </c>
      <c r="D21" s="174" t="str">
        <f>IF(VALUE(C21)&lt;='RFPR cover'!$C$7,"Actual","Forecast")</f>
        <v>Actual</v>
      </c>
      <c r="E21" s="395">
        <v>264.99200000000002</v>
      </c>
      <c r="F21" s="525">
        <v>269.95000000000005</v>
      </c>
      <c r="G21" s="175">
        <v>0.2</v>
      </c>
      <c r="H21" s="869"/>
      <c r="I21" s="544"/>
      <c r="J21" s="870"/>
    </row>
    <row r="22" spans="2:10">
      <c r="B22" s="173" t="s">
        <v>63</v>
      </c>
      <c r="C22" s="179">
        <v>2018</v>
      </c>
      <c r="D22" s="174" t="str">
        <f>IF(VALUE(C22)&lt;='RFPR cover'!$C$7,"Actual","Forecast")</f>
        <v>Actual</v>
      </c>
      <c r="E22" s="395">
        <v>274.90800000000002</v>
      </c>
      <c r="F22" s="525">
        <v>279</v>
      </c>
      <c r="G22" s="175">
        <v>0.19</v>
      </c>
      <c r="H22" s="869"/>
      <c r="I22" s="544"/>
      <c r="J22" s="870"/>
    </row>
    <row r="23" spans="2:10">
      <c r="B23" s="527" t="s">
        <v>64</v>
      </c>
      <c r="C23" s="528">
        <v>2019</v>
      </c>
      <c r="D23" s="174" t="str">
        <f>IF(VALUE(C23)&lt;='RFPR cover'!$C$7,"Actual","Forecast")</f>
        <v>Actual</v>
      </c>
      <c r="E23" s="395">
        <v>283.30799999999999</v>
      </c>
      <c r="F23" s="525">
        <v>286.64999999999998</v>
      </c>
      <c r="G23" s="175">
        <v>0.19</v>
      </c>
      <c r="H23" s="869"/>
      <c r="J23" s="870"/>
    </row>
    <row r="24" spans="2:10">
      <c r="B24" s="527" t="s">
        <v>65</v>
      </c>
      <c r="C24" s="528">
        <v>2020</v>
      </c>
      <c r="D24" s="174" t="str">
        <f>IF(VALUE(C24)&lt;='RFPR cover'!$C$7,"Actual","Forecast")</f>
        <v>Forecast</v>
      </c>
      <c r="E24" s="526">
        <f t="shared" ref="E24:F27" si="0">E23*(1+INDEX($D$43:$J$43,0,MATCH($C24,$D$42:$J$42,0)))</f>
        <v>290.74483500000002</v>
      </c>
      <c r="F24" s="526">
        <f t="shared" si="0"/>
        <v>294.17456249999998</v>
      </c>
      <c r="G24" s="175">
        <v>0.19</v>
      </c>
      <c r="H24" s="869"/>
      <c r="J24" s="870"/>
    </row>
    <row r="25" spans="2:10">
      <c r="B25" s="527" t="s">
        <v>66</v>
      </c>
      <c r="C25" s="528">
        <v>2021</v>
      </c>
      <c r="D25" s="174" t="str">
        <f>IF(VALUE(C25)&lt;='RFPR cover'!$C$7,"Actual","Forecast")</f>
        <v>Forecast</v>
      </c>
      <c r="E25" s="526">
        <f t="shared" si="0"/>
        <v>298.81300417124999</v>
      </c>
      <c r="F25" s="526">
        <f t="shared" si="0"/>
        <v>302.33790660937495</v>
      </c>
      <c r="G25" s="175">
        <v>0.17</v>
      </c>
      <c r="H25" s="869"/>
      <c r="J25" s="870"/>
    </row>
    <row r="26" spans="2:10">
      <c r="B26" s="527" t="s">
        <v>67</v>
      </c>
      <c r="C26" s="528">
        <v>2022</v>
      </c>
      <c r="D26" s="174" t="str">
        <f>IF(VALUE(C26)&lt;='RFPR cover'!$C$7,"Actual","Forecast")</f>
        <v>Forecast</v>
      </c>
      <c r="E26" s="526">
        <f t="shared" si="0"/>
        <v>307.85209754743033</v>
      </c>
      <c r="F26" s="526">
        <f t="shared" si="0"/>
        <v>311.48362828430857</v>
      </c>
      <c r="G26" s="175">
        <v>0.17</v>
      </c>
      <c r="H26" s="869"/>
      <c r="J26" s="870"/>
    </row>
    <row r="27" spans="2:10">
      <c r="B27" s="527" t="s">
        <v>68</v>
      </c>
      <c r="C27" s="528">
        <v>2023</v>
      </c>
      <c r="D27" s="174" t="str">
        <f>IF(VALUE(C27)&lt;='RFPR cover'!$C$7,"Actual","Forecast")</f>
        <v>Forecast</v>
      </c>
      <c r="E27" s="526">
        <f t="shared" si="0"/>
        <v>317.31854954701384</v>
      </c>
      <c r="F27" s="526">
        <f t="shared" si="0"/>
        <v>321.06174985405107</v>
      </c>
      <c r="G27" s="175">
        <v>0.17</v>
      </c>
      <c r="H27" s="869"/>
      <c r="J27" s="870"/>
    </row>
    <row r="28" spans="2:10">
      <c r="B28" s="527" t="s">
        <v>205</v>
      </c>
      <c r="C28" s="528">
        <v>2024</v>
      </c>
      <c r="D28" s="174" t="str">
        <f>IF(VALUE(C28)&lt;='RFPR cover'!$C$7,"Actual","Forecast")</f>
        <v>Forecast</v>
      </c>
      <c r="E28" s="397"/>
      <c r="F28" s="397"/>
      <c r="G28" s="175">
        <v>0.17</v>
      </c>
    </row>
    <row r="29" spans="2:10">
      <c r="B29" s="527" t="s">
        <v>206</v>
      </c>
      <c r="C29" s="528">
        <v>2025</v>
      </c>
      <c r="D29" s="174" t="str">
        <f>IF(VALUE(C29)&lt;='RFPR cover'!$C$7,"Actual","Forecast")</f>
        <v>Forecast</v>
      </c>
      <c r="E29" s="397"/>
      <c r="F29" s="397"/>
      <c r="G29" s="175">
        <v>0.17</v>
      </c>
    </row>
    <row r="30" spans="2:10">
      <c r="B30" s="529" t="s">
        <v>207</v>
      </c>
      <c r="C30" s="530">
        <v>2026</v>
      </c>
      <c r="D30" s="176" t="str">
        <f>IF(VALUE(C30)&lt;='RFPR cover'!$C$7,"Actual","Forecast")</f>
        <v>Forecast</v>
      </c>
      <c r="E30" s="396"/>
      <c r="F30" s="396"/>
      <c r="G30" s="177">
        <v>0.17</v>
      </c>
    </row>
    <row r="31" spans="2:10">
      <c r="B31" s="90"/>
      <c r="C31" s="68"/>
      <c r="D31" s="68"/>
      <c r="E31" s="68"/>
      <c r="F31" s="68"/>
    </row>
    <row r="32" spans="2:10">
      <c r="B32" s="90"/>
      <c r="C32" s="361" t="str">
        <f>IF(C33&lt;='RFPR cover'!$C$7,"Actuals","Forecast")</f>
        <v>Actuals</v>
      </c>
      <c r="D32" s="362" t="str">
        <f>IF(D33&lt;='RFPR cover'!$C$7,"Actuals","Forecast")</f>
        <v>Actuals</v>
      </c>
      <c r="E32" s="362" t="str">
        <f>IF(E33&lt;='RFPR cover'!$C$7,"Actuals","Forecast")</f>
        <v>Actuals</v>
      </c>
      <c r="F32" s="362" t="str">
        <f>IF(F33&lt;='RFPR cover'!$C$7,"Actuals","Forecast")</f>
        <v>Actuals</v>
      </c>
      <c r="G32" s="362" t="str">
        <f>IF(G33&lt;='RFPR cover'!$C$7,"Actuals","Forecast")</f>
        <v>Forecast</v>
      </c>
      <c r="H32" s="362" t="str">
        <f>IF(H33&lt;='RFPR cover'!$C$7,"Actuals","Forecast")</f>
        <v>Forecast</v>
      </c>
      <c r="I32" s="362" t="str">
        <f>IF(I33&lt;='RFPR cover'!$C$7,"Actuals","Forecast")</f>
        <v>Forecast</v>
      </c>
      <c r="J32" s="363" t="str">
        <f>IF(J33&lt;='RFPR cover'!$C$7,"Actuals","Forecast")</f>
        <v>Forecast</v>
      </c>
    </row>
    <row r="33" spans="2:13" ht="15.75" customHeight="1">
      <c r="B33" s="304"/>
      <c r="C33" s="92">
        <f>'RFPR cover'!$C$13</f>
        <v>2016</v>
      </c>
      <c r="D33" s="93">
        <f t="shared" ref="D33:J33" si="1">C33+1</f>
        <v>2017</v>
      </c>
      <c r="E33" s="93">
        <f t="shared" si="1"/>
        <v>2018</v>
      </c>
      <c r="F33" s="93">
        <f t="shared" si="1"/>
        <v>2019</v>
      </c>
      <c r="G33" s="93">
        <f t="shared" si="1"/>
        <v>2020</v>
      </c>
      <c r="H33" s="93">
        <f t="shared" si="1"/>
        <v>2021</v>
      </c>
      <c r="I33" s="93">
        <f t="shared" si="1"/>
        <v>2022</v>
      </c>
      <c r="J33" s="335">
        <f t="shared" si="1"/>
        <v>2023</v>
      </c>
    </row>
    <row r="34" spans="2:13" ht="15.75" customHeight="1">
      <c r="B34" s="522" t="s">
        <v>377</v>
      </c>
      <c r="C34" s="520">
        <f>INDEX(Data!$E$14:$E$30,MATCH(C$33,Data!$C$14:$C$30,0),0)/IF('RFPR cover'!$C$6="ED1",Data!$E$17,Data!$E$14)</f>
        <v>1.0603167467048125</v>
      </c>
      <c r="D34" s="517">
        <f>INDEX(Data!$E$14:$E$30,MATCH(D$33,Data!$C$14:$C$30,0),0)/IF('RFPR cover'!$C$6="ED1",Data!$E$17,Data!$E$14)</f>
        <v>1.0830366813119445</v>
      </c>
      <c r="E34" s="517">
        <f>INDEX(Data!$E$14:$E$30,MATCH(E$33,Data!$C$14:$C$30,0),0)/IF('RFPR cover'!$C$6="ED1",Data!$E$17,Data!$E$14)</f>
        <v>1.1235639113109226</v>
      </c>
      <c r="F34" s="517">
        <f>INDEX(Data!$E$14:$E$30,MATCH(F$33,Data!$C$14:$C$30,0),0)/IF('RFPR cover'!$C$6="ED1",Data!$E$17,Data!$E$14)</f>
        <v>1.1578951670583426</v>
      </c>
      <c r="G34" s="517">
        <f>INDEX(Data!$E$14:$E$30,MATCH(G$33,Data!$C$14:$C$30,0),0)/IF('RFPR cover'!$C$6="ED1",Data!$E$17,Data!$E$14)</f>
        <v>1.1882899151936241</v>
      </c>
      <c r="H34" s="517">
        <f>INDEX(Data!$E$14:$E$30,MATCH(H$33,Data!$C$14:$C$30,0),0)/IF('RFPR cover'!$C$6="ED1",Data!$E$17,Data!$E$14)</f>
        <v>1.2212649603402472</v>
      </c>
      <c r="I34" s="518">
        <f>INDEX(Data!$E$14:$E$30,MATCH(I$33,Data!$C$14:$C$30,0),0)/IF('RFPR cover'!$C$6="ED1",Data!$E$17,Data!$E$14)</f>
        <v>1.2582082253905398</v>
      </c>
      <c r="J34" s="519">
        <f>INDEX(Data!$E$14:$E$30,MATCH(J$33,Data!$C$14:$C$30,0),0)/IF('RFPR cover'!$C$6="ED1",Data!$E$17,Data!$E$14)</f>
        <v>1.296898128321299</v>
      </c>
    </row>
    <row r="35" spans="2:13" ht="15.75" customHeight="1">
      <c r="B35" s="523" t="s">
        <v>42</v>
      </c>
      <c r="C35" s="521">
        <f>INDEX(Data!$F$14:$F$30,MATCH(C$33,Data!$C$14:$C$30,0),0)/IF('RFPR cover'!$C$6="ED1",Data!$E$17,Data!$E$14)</f>
        <v>1.0677429242873198</v>
      </c>
      <c r="D35" s="521">
        <f>INDEX(Data!$F$14:$F$30,MATCH(D$33,Data!$C$14:$C$30,0),0)/IF('RFPR cover'!$C$6="ED1",Data!$E$17,Data!$E$14)</f>
        <v>1.1033002963114336</v>
      </c>
      <c r="E35" s="521">
        <f>INDEX(Data!$F$14:$F$30,MATCH(E$33,Data!$C$14:$C$30,0),0)/IF('RFPR cover'!$C$6="ED1",Data!$E$17,Data!$E$14)</f>
        <v>1.1402881373250229</v>
      </c>
      <c r="F35" s="521">
        <f>INDEX(Data!$F$14:$F$30,MATCH(F$33,Data!$C$14:$C$30,0),0)/IF('RFPR cover'!$C$6="ED1",Data!$E$17,Data!$E$14)</f>
        <v>1.171554102380709</v>
      </c>
      <c r="G35" s="521">
        <f>INDEX(Data!$F$14:$F$30,MATCH(G$33,Data!$C$14:$C$30,0),0)/IF('RFPR cover'!$C$6="ED1",Data!$E$17,Data!$E$14)</f>
        <v>1.2023073975682026</v>
      </c>
      <c r="H35" s="521">
        <f>INDEX(Data!$F$14:$F$30,MATCH(H$33,Data!$C$14:$C$30,0),0)/IF('RFPR cover'!$C$6="ED1",Data!$E$17,Data!$E$14)</f>
        <v>1.2356714278507201</v>
      </c>
      <c r="I35" s="521">
        <f>INDEX(Data!$F$14:$F$30,MATCH(I$33,Data!$C$14:$C$30,0),0)/IF('RFPR cover'!$C$6="ED1",Data!$E$17,Data!$E$14)</f>
        <v>1.2730504885432044</v>
      </c>
      <c r="J35" s="521">
        <f>INDEX(Data!$F$14:$F$30,MATCH(J$33,Data!$C$14:$C$30,0),0)/IF('RFPR cover'!$C$6="ED1",Data!$E$17,Data!$E$14)</f>
        <v>1.312196791065908</v>
      </c>
    </row>
    <row r="36" spans="2:13">
      <c r="B36" s="523" t="s">
        <v>507</v>
      </c>
      <c r="C36" s="521">
        <f>INDEX(Data!$E$14:$E$30,MATCH(C$33,Data!$C$14:$C$30,0))/INDEX(Data!$E$14:$E$30,MATCH(C$33-1,Data!$C$14:$C$30,0))</f>
        <v>1.0107766093810269</v>
      </c>
      <c r="D36" s="521">
        <f>INDEX(Data!$E$14:$E$30,MATCH(D$33,Data!$C$14:$C$30,0))/INDEX(Data!$E$14:$E$30,MATCH(D$33-1,Data!$C$14:$C$30,0))</f>
        <v>1.0214274976583551</v>
      </c>
      <c r="E36" s="521">
        <f>INDEX(Data!$E$14:$E$30,MATCH(E$33,Data!$C$14:$C$30,0))/INDEX(Data!$E$14:$E$30,MATCH(E$33-1,Data!$C$14:$C$30,0))</f>
        <v>1.0374199975848328</v>
      </c>
      <c r="F36" s="521">
        <f>INDEX(Data!$E$14:$E$30,MATCH(F$33,Data!$C$14:$C$30,0))/INDEX(Data!$E$14:$E$30,MATCH(F$33-1,Data!$C$14:$C$30,0))</f>
        <v>1.0305556768082411</v>
      </c>
      <c r="G36" s="521">
        <f>INDEX(Data!$E$14:$E$30,MATCH(G$33,Data!$C$14:$C$30,0))/INDEX(Data!$E$14:$E$30,MATCH(G$33-1,Data!$C$14:$C$30,0))</f>
        <v>1.0262500000000001</v>
      </c>
      <c r="H36" s="521">
        <f>INDEX(Data!$E$14:$E$30,MATCH(H$33,Data!$C$14:$C$30,0))/INDEX(Data!$E$14:$E$30,MATCH(H$33-1,Data!$C$14:$C$30,0))</f>
        <v>1.0277499999999999</v>
      </c>
      <c r="I36" s="521">
        <f>INDEX(Data!$E$14:$E$30,MATCH(I$33,Data!$C$14:$C$30,0))/INDEX(Data!$E$14:$E$30,MATCH(I$33-1,Data!$C$14:$C$30,0))</f>
        <v>1.0302500000000001</v>
      </c>
      <c r="J36" s="521">
        <f>INDEX(Data!$E$14:$E$30,MATCH(J$33,Data!$C$14:$C$30,0))/INDEX(Data!$E$14:$E$30,MATCH(J$33-1,Data!$C$14:$C$30,0))</f>
        <v>1.0307500000000001</v>
      </c>
    </row>
    <row r="37" spans="2:13" ht="15.75" customHeight="1">
      <c r="B37" s="14" t="s">
        <v>275</v>
      </c>
      <c r="F37" s="544"/>
    </row>
    <row r="38" spans="2:13">
      <c r="C38" s="537" t="s">
        <v>276</v>
      </c>
      <c r="D38" s="119">
        <v>2017</v>
      </c>
      <c r="E38" s="120">
        <f t="shared" ref="E38:J38" si="2">D38+1</f>
        <v>2018</v>
      </c>
      <c r="F38" s="120">
        <f t="shared" si="2"/>
        <v>2019</v>
      </c>
      <c r="G38" s="120">
        <f t="shared" si="2"/>
        <v>2020</v>
      </c>
      <c r="H38" s="120">
        <f t="shared" si="2"/>
        <v>2021</v>
      </c>
      <c r="I38" s="120">
        <f t="shared" si="2"/>
        <v>2022</v>
      </c>
      <c r="J38" s="204">
        <f t="shared" si="2"/>
        <v>2023</v>
      </c>
      <c r="K38" s="961" t="s">
        <v>387</v>
      </c>
      <c r="L38" s="961"/>
      <c r="M38" s="961"/>
    </row>
    <row r="39" spans="2:13">
      <c r="B39" t="s">
        <v>388</v>
      </c>
      <c r="C39" s="210"/>
      <c r="D39" s="786"/>
      <c r="E39" s="786"/>
      <c r="F39" s="787">
        <v>2.5999999999999999E-2</v>
      </c>
      <c r="G39" s="787">
        <v>2.7E-2</v>
      </c>
      <c r="H39" s="787">
        <v>0.03</v>
      </c>
      <c r="I39" s="787">
        <v>3.1E-2</v>
      </c>
      <c r="J39" s="788">
        <v>0.03</v>
      </c>
      <c r="K39" s="962" t="s">
        <v>584</v>
      </c>
      <c r="L39" s="963"/>
      <c r="M39" s="964"/>
    </row>
    <row r="41" spans="2:13">
      <c r="B41" s="14" t="s">
        <v>277</v>
      </c>
    </row>
    <row r="42" spans="2:13">
      <c r="C42" s="536" t="s">
        <v>278</v>
      </c>
      <c r="D42" s="119">
        <v>2017</v>
      </c>
      <c r="E42" s="120">
        <f t="shared" ref="E42:J42" si="3">D42+1</f>
        <v>2018</v>
      </c>
      <c r="F42" s="120">
        <f t="shared" si="3"/>
        <v>2019</v>
      </c>
      <c r="G42" s="120">
        <f t="shared" si="3"/>
        <v>2020</v>
      </c>
      <c r="H42" s="120">
        <f t="shared" si="3"/>
        <v>2021</v>
      </c>
      <c r="I42" s="120">
        <f t="shared" si="3"/>
        <v>2022</v>
      </c>
      <c r="J42" s="204">
        <f t="shared" si="3"/>
        <v>2023</v>
      </c>
    </row>
    <row r="43" spans="2:13">
      <c r="B43" t="s">
        <v>279</v>
      </c>
      <c r="D43" s="597"/>
      <c r="E43" s="598"/>
      <c r="F43" s="598"/>
      <c r="G43" s="789">
        <f>(F39*0.75)+(G39*0.25)</f>
        <v>2.6249999999999999E-2</v>
      </c>
      <c r="H43" s="789">
        <f>(G39*0.75)+(H39*0.25)</f>
        <v>2.775E-2</v>
      </c>
      <c r="I43" s="789">
        <f>(H39*0.75)+(I39*0.25)</f>
        <v>3.0249999999999999E-2</v>
      </c>
      <c r="J43" s="790">
        <f>(I39*0.75)+(J39*0.25)</f>
        <v>3.075E-2</v>
      </c>
    </row>
    <row r="45" spans="2:13">
      <c r="B45" s="334" t="str">
        <f>"Selected Capitalisation rates for "&amp;'RFPR cover'!C5</f>
        <v>Selected Capitalisation rates for WPD-SWEST</v>
      </c>
      <c r="C45" s="285"/>
      <c r="D45" s="285"/>
      <c r="E45" s="285"/>
      <c r="F45" s="285"/>
      <c r="G45" s="285"/>
      <c r="H45" s="285"/>
      <c r="I45" s="285"/>
      <c r="J45" s="285"/>
      <c r="K45" s="285"/>
      <c r="L45" s="285"/>
      <c r="M45" s="299"/>
    </row>
    <row r="46" spans="2:13">
      <c r="B46" s="211"/>
      <c r="C46" s="43"/>
      <c r="D46" s="43"/>
      <c r="E46" s="43"/>
      <c r="F46" s="43"/>
      <c r="G46" s="43"/>
      <c r="H46" s="43"/>
      <c r="I46" s="43"/>
      <c r="J46" s="43"/>
      <c r="K46" s="43"/>
      <c r="L46" s="43"/>
      <c r="M46" s="212"/>
    </row>
    <row r="47" spans="2:13">
      <c r="B47" s="211"/>
      <c r="C47" s="333" t="s">
        <v>252</v>
      </c>
      <c r="D47" s="43"/>
      <c r="E47" s="43"/>
      <c r="F47" s="43"/>
      <c r="G47" s="43"/>
      <c r="H47" s="43"/>
      <c r="I47" s="43"/>
      <c r="J47" s="43"/>
      <c r="K47" s="43"/>
      <c r="L47" s="43"/>
      <c r="M47" s="212"/>
    </row>
    <row r="48" spans="2:13">
      <c r="B48" s="336" t="str">
        <f>INDEX($G$54:$G$57,MATCH(LEFT('RFPR cover'!$C$6,2),Data!$E$54:$E$57,0),0)</f>
        <v>Totex</v>
      </c>
      <c r="C48" s="332">
        <f>INDEX($F$73:$F$100,MATCH('RFPR cover'!$C$5,Data!$B$73:$B$100,0),0)</f>
        <v>0.8</v>
      </c>
      <c r="D48" s="43"/>
      <c r="E48" s="43"/>
      <c r="F48" s="43"/>
      <c r="G48" s="43"/>
      <c r="H48" s="43"/>
      <c r="I48" s="43"/>
      <c r="J48" s="43"/>
      <c r="K48" s="43"/>
      <c r="L48" s="43"/>
      <c r="M48" s="212"/>
    </row>
    <row r="49" spans="2:20">
      <c r="B49" s="337"/>
      <c r="C49" s="43"/>
      <c r="D49" s="43"/>
      <c r="E49" s="43"/>
      <c r="F49" s="43"/>
      <c r="G49" s="43"/>
      <c r="H49" s="43"/>
      <c r="I49" s="43"/>
      <c r="J49" s="43"/>
      <c r="K49" s="43"/>
      <c r="L49" s="43"/>
      <c r="M49" s="212"/>
    </row>
    <row r="50" spans="2:20">
      <c r="B50" s="337"/>
      <c r="C50" s="92">
        <v>2014</v>
      </c>
      <c r="D50" s="93">
        <f t="shared" ref="D50:J50" si="4">C50+1</f>
        <v>2015</v>
      </c>
      <c r="E50" s="93">
        <f t="shared" si="4"/>
        <v>2016</v>
      </c>
      <c r="F50" s="93">
        <f t="shared" si="4"/>
        <v>2017</v>
      </c>
      <c r="G50" s="93">
        <f t="shared" si="4"/>
        <v>2018</v>
      </c>
      <c r="H50" s="93">
        <f t="shared" si="4"/>
        <v>2019</v>
      </c>
      <c r="I50" s="93">
        <f t="shared" si="4"/>
        <v>2020</v>
      </c>
      <c r="J50" s="93">
        <f t="shared" si="4"/>
        <v>2021</v>
      </c>
      <c r="K50" s="43"/>
      <c r="L50" s="43"/>
      <c r="M50" s="212"/>
    </row>
    <row r="51" spans="2:20">
      <c r="B51" s="336" t="str">
        <f>INDEX($J$54:$J$57,MATCH(LEFT('RFPR cover'!$C$6,2),Data!$E$54:$E$57,0),0)</f>
        <v>n/a</v>
      </c>
      <c r="C51" s="338">
        <f>IFERROR(INDEX(C$106:C$115,MATCH('RFPR cover'!$C$5,Data!$B$106:$B$115,0),0),0)</f>
        <v>0</v>
      </c>
      <c r="D51" s="320">
        <f>IFERROR(INDEX(D$106:D$115,MATCH('RFPR cover'!$C$5,Data!$B$106:$B$115,0),0),0)</f>
        <v>0</v>
      </c>
      <c r="E51" s="320">
        <f>IFERROR(INDEX(E$106:E$115,MATCH('RFPR cover'!$C$5,Data!$B$106:$B$115,0),0),0)</f>
        <v>0</v>
      </c>
      <c r="F51" s="320">
        <f>IFERROR(INDEX(F$106:F$115,MATCH('RFPR cover'!$C$5,Data!$B$106:$B$115,0),0),0)</f>
        <v>0</v>
      </c>
      <c r="G51" s="320">
        <f>IFERROR(INDEX(G$106:G$115,MATCH('RFPR cover'!$C$5,Data!$B$106:$B$115,0),0),0)</f>
        <v>0</v>
      </c>
      <c r="H51" s="320">
        <f>IFERROR(INDEX(H$106:H$115,MATCH('RFPR cover'!$C$5,Data!$B$106:$B$115,0),0),0)</f>
        <v>0</v>
      </c>
      <c r="I51" s="320">
        <f>IFERROR(INDEX(I$106:I$115,MATCH('RFPR cover'!$C$5,Data!$B$106:$B$115,0),0),0)</f>
        <v>0</v>
      </c>
      <c r="J51" s="320">
        <f>IFERROR(INDEX(J$106:J$115,MATCH('RFPR cover'!$C$5,Data!$B$106:$B$115,0),0),0)</f>
        <v>0</v>
      </c>
      <c r="K51" s="43"/>
      <c r="L51" s="43"/>
      <c r="M51" s="212"/>
    </row>
    <row r="52" spans="2:20">
      <c r="B52" s="310"/>
      <c r="C52" s="311"/>
      <c r="D52" s="311"/>
      <c r="E52" s="311"/>
      <c r="F52" s="311"/>
      <c r="G52" s="311"/>
      <c r="H52" s="311"/>
      <c r="I52" s="311"/>
      <c r="J52" s="311"/>
      <c r="K52" s="311"/>
      <c r="L52" s="311"/>
      <c r="M52" s="312"/>
    </row>
    <row r="53" spans="2:20">
      <c r="B53" s="43"/>
      <c r="C53" s="43"/>
      <c r="D53" s="43"/>
      <c r="E53" s="43"/>
      <c r="F53" s="43"/>
      <c r="G53" s="43"/>
      <c r="H53" s="43"/>
      <c r="I53" s="43"/>
      <c r="J53" s="43"/>
      <c r="K53" s="43"/>
    </row>
    <row r="54" spans="2:20">
      <c r="B54" s="324"/>
      <c r="C54" s="324"/>
      <c r="E54" s="321" t="s">
        <v>172</v>
      </c>
      <c r="F54" s="350" t="s">
        <v>159</v>
      </c>
      <c r="G54" s="968" t="s">
        <v>253</v>
      </c>
      <c r="H54" s="969"/>
      <c r="I54" s="970"/>
      <c r="J54" s="977" t="s">
        <v>255</v>
      </c>
      <c r="K54" s="978"/>
    </row>
    <row r="55" spans="2:20">
      <c r="B55" s="324"/>
      <c r="C55" s="324"/>
      <c r="E55" s="322" t="s">
        <v>174</v>
      </c>
      <c r="F55" s="351" t="s">
        <v>184</v>
      </c>
      <c r="G55" s="971" t="s">
        <v>253</v>
      </c>
      <c r="H55" s="972"/>
      <c r="I55" s="973"/>
      <c r="J55" s="979" t="s">
        <v>255</v>
      </c>
      <c r="K55" s="980"/>
    </row>
    <row r="56" spans="2:20">
      <c r="B56" s="324"/>
      <c r="C56" s="324"/>
      <c r="E56" s="322" t="s">
        <v>173</v>
      </c>
      <c r="F56" s="351" t="s">
        <v>184</v>
      </c>
      <c r="G56" s="971" t="s">
        <v>244</v>
      </c>
      <c r="H56" s="972"/>
      <c r="I56" s="973"/>
      <c r="J56" s="979" t="s">
        <v>245</v>
      </c>
      <c r="K56" s="980"/>
    </row>
    <row r="57" spans="2:20">
      <c r="B57" s="324"/>
      <c r="C57" s="324"/>
      <c r="E57" s="323" t="s">
        <v>175</v>
      </c>
      <c r="F57" s="352" t="s">
        <v>184</v>
      </c>
      <c r="G57" s="974" t="s">
        <v>254</v>
      </c>
      <c r="H57" s="975"/>
      <c r="I57" s="976"/>
      <c r="J57" s="981" t="s">
        <v>256</v>
      </c>
      <c r="K57" s="982"/>
    </row>
    <row r="58" spans="2:20">
      <c r="B58" s="324"/>
      <c r="C58" s="324"/>
      <c r="E58" s="324"/>
      <c r="F58" s="471"/>
      <c r="G58" s="472"/>
      <c r="H58" s="472"/>
      <c r="I58" s="472"/>
      <c r="J58" s="473"/>
      <c r="K58" s="473"/>
    </row>
    <row r="59" spans="2:20">
      <c r="B59" s="474"/>
      <c r="C59" s="474"/>
      <c r="D59" s="227"/>
      <c r="E59" s="474"/>
      <c r="F59" s="475"/>
      <c r="G59" s="476"/>
      <c r="H59" s="476"/>
      <c r="I59" s="476"/>
      <c r="J59" s="477"/>
      <c r="K59" s="477"/>
      <c r="L59" s="227"/>
      <c r="M59" s="227"/>
      <c r="N59" s="227"/>
      <c r="O59" s="227"/>
      <c r="P59" s="227"/>
      <c r="Q59" s="227"/>
      <c r="R59" s="227"/>
      <c r="S59" s="227"/>
      <c r="T59" s="227"/>
    </row>
    <row r="60" spans="2:20" s="32" customFormat="1">
      <c r="B60" s="423"/>
      <c r="C60" s="423"/>
      <c r="E60" s="423"/>
      <c r="F60" s="478"/>
      <c r="G60" s="479"/>
      <c r="H60" s="479"/>
      <c r="I60" s="479"/>
      <c r="J60" s="480"/>
      <c r="K60" s="480"/>
    </row>
    <row r="61" spans="2:20">
      <c r="B61" s="470" t="s">
        <v>351</v>
      </c>
      <c r="I61" s="68"/>
    </row>
    <row r="62" spans="2:20">
      <c r="C62" s="119">
        <v>2014</v>
      </c>
      <c r="D62" s="120">
        <f t="shared" ref="D62:L62" si="5">C62+1</f>
        <v>2015</v>
      </c>
      <c r="E62" s="120">
        <f t="shared" si="5"/>
        <v>2016</v>
      </c>
      <c r="F62" s="120">
        <f t="shared" si="5"/>
        <v>2017</v>
      </c>
      <c r="G62" s="120">
        <f t="shared" si="5"/>
        <v>2018</v>
      </c>
      <c r="H62" s="120">
        <f t="shared" si="5"/>
        <v>2019</v>
      </c>
      <c r="I62" s="120">
        <f t="shared" si="5"/>
        <v>2020</v>
      </c>
      <c r="J62" s="120">
        <f t="shared" si="5"/>
        <v>2021</v>
      </c>
      <c r="K62" s="120">
        <f t="shared" si="5"/>
        <v>2022</v>
      </c>
      <c r="L62" s="204">
        <f t="shared" si="5"/>
        <v>2023</v>
      </c>
    </row>
    <row r="63" spans="2:20">
      <c r="B63" s="467" t="s">
        <v>349</v>
      </c>
      <c r="C63" s="593"/>
      <c r="D63" s="594"/>
      <c r="E63" s="465">
        <v>2.5499999999999998E-2</v>
      </c>
      <c r="F63" s="465">
        <v>2.3799999999999998E-2</v>
      </c>
      <c r="G63" s="465">
        <v>2.2200000000000001E-2</v>
      </c>
      <c r="H63" s="465">
        <v>1.9099999999999999E-2</v>
      </c>
      <c r="I63" s="465">
        <v>1.5800000000000002E-2</v>
      </c>
      <c r="J63" s="465">
        <v>1.1399999999999999E-2</v>
      </c>
      <c r="K63" s="465">
        <v>9.1999999999999998E-3</v>
      </c>
      <c r="L63" s="466">
        <v>7.1999999999999998E-3</v>
      </c>
    </row>
    <row r="64" spans="2:20">
      <c r="B64" s="468" t="s">
        <v>336</v>
      </c>
      <c r="C64" s="581"/>
      <c r="D64" s="582"/>
      <c r="E64" s="425">
        <v>2.5499999999999998E-2</v>
      </c>
      <c r="F64" s="425">
        <v>2.4199999999999999E-2</v>
      </c>
      <c r="G64" s="425">
        <v>2.29E-2</v>
      </c>
      <c r="H64" s="425">
        <v>2.0899999999999998E-2</v>
      </c>
      <c r="I64" s="425">
        <v>1.9400000000000001E-2</v>
      </c>
      <c r="J64" s="425">
        <v>1.8200000000000001E-2</v>
      </c>
      <c r="K64" s="425">
        <v>1.72E-2</v>
      </c>
      <c r="L64" s="428">
        <v>1.6299999999999999E-2</v>
      </c>
    </row>
    <row r="65" spans="1:20">
      <c r="B65" s="468" t="s">
        <v>61</v>
      </c>
      <c r="C65" s="424">
        <v>2.92E-2</v>
      </c>
      <c r="D65" s="425">
        <v>2.5000000000000001E-2</v>
      </c>
      <c r="E65" s="425">
        <v>2.1499999999999998E-2</v>
      </c>
      <c r="F65" s="425">
        <v>1.7899999999999999E-2</v>
      </c>
      <c r="G65" s="425">
        <v>1.5100000000000001E-2</v>
      </c>
      <c r="H65" s="425">
        <v>1.1599999999999999E-2</v>
      </c>
      <c r="I65" s="425">
        <v>1.0200000000000001E-2</v>
      </c>
      <c r="J65" s="425">
        <v>8.6E-3</v>
      </c>
      <c r="K65" s="595"/>
      <c r="L65" s="596"/>
    </row>
    <row r="66" spans="1:20">
      <c r="B66" s="468" t="s">
        <v>350</v>
      </c>
      <c r="C66" s="463">
        <v>2.92E-2</v>
      </c>
      <c r="D66" s="464">
        <v>2.7199999999999998E-2</v>
      </c>
      <c r="E66" s="464">
        <v>2.5499999999999998E-2</v>
      </c>
      <c r="F66" s="464">
        <v>2.3800000000000002E-2</v>
      </c>
      <c r="G66" s="464">
        <v>2.2200000000000001E-2</v>
      </c>
      <c r="H66" s="464">
        <v>1.9099999999999999E-2</v>
      </c>
      <c r="I66" s="464">
        <v>1.5800000000000002E-2</v>
      </c>
      <c r="J66" s="464">
        <v>1.1399999999999999E-2</v>
      </c>
      <c r="K66" s="582"/>
      <c r="L66" s="583"/>
    </row>
    <row r="67" spans="1:20">
      <c r="B67" s="468" t="s">
        <v>173</v>
      </c>
      <c r="C67" s="424">
        <v>2.92E-2</v>
      </c>
      <c r="D67" s="425">
        <v>2.7199999999999998E-2</v>
      </c>
      <c r="E67" s="425">
        <v>2.5499999999999998E-2</v>
      </c>
      <c r="F67" s="425">
        <v>2.3800000000000002E-2</v>
      </c>
      <c r="G67" s="425">
        <v>2.2200000000000001E-2</v>
      </c>
      <c r="H67" s="464">
        <v>1.9099999999999999E-2</v>
      </c>
      <c r="I67" s="464">
        <v>1.5800000000000002E-2</v>
      </c>
      <c r="J67" s="464">
        <v>1.1399999999999999E-2</v>
      </c>
      <c r="K67" s="582"/>
      <c r="L67" s="583"/>
    </row>
    <row r="68" spans="1:20">
      <c r="B68" s="469" t="s">
        <v>175</v>
      </c>
      <c r="C68" s="426">
        <v>2.92E-2</v>
      </c>
      <c r="D68" s="427">
        <v>2.7199999999999998E-2</v>
      </c>
      <c r="E68" s="427">
        <v>2.5499999999999998E-2</v>
      </c>
      <c r="F68" s="427">
        <v>2.3800000000000002E-2</v>
      </c>
      <c r="G68" s="427">
        <v>2.2200000000000001E-2</v>
      </c>
      <c r="H68" s="427">
        <v>1.9099999999999999E-2</v>
      </c>
      <c r="I68" s="427">
        <v>1.5800000000000002E-2</v>
      </c>
      <c r="J68" s="427">
        <v>1.1399999999999999E-2</v>
      </c>
      <c r="K68" s="584"/>
      <c r="L68" s="585"/>
    </row>
    <row r="69" spans="1:20">
      <c r="I69" s="68"/>
    </row>
    <row r="70" spans="1:20">
      <c r="H70" s="68"/>
      <c r="K70" s="43"/>
      <c r="L70" s="43"/>
      <c r="M70" s="43"/>
      <c r="N70" s="43"/>
      <c r="O70" s="43"/>
      <c r="P70" s="43"/>
      <c r="Q70" s="43"/>
      <c r="R70" s="43"/>
      <c r="S70" s="43"/>
      <c r="T70" s="43"/>
    </row>
    <row r="71" spans="1:20" ht="38.25">
      <c r="B71" s="22"/>
      <c r="C71" s="75" t="s">
        <v>251</v>
      </c>
      <c r="D71" s="76" t="s">
        <v>212</v>
      </c>
      <c r="E71" s="76" t="s">
        <v>72</v>
      </c>
      <c r="F71" s="76" t="s">
        <v>274</v>
      </c>
      <c r="G71" s="76" t="s">
        <v>116</v>
      </c>
      <c r="H71" s="77" t="s">
        <v>186</v>
      </c>
      <c r="I71" s="349" t="s">
        <v>269</v>
      </c>
      <c r="J71" s="349" t="s">
        <v>484</v>
      </c>
      <c r="K71" s="965" t="s">
        <v>345</v>
      </c>
      <c r="L71" s="966"/>
      <c r="M71" s="966"/>
      <c r="N71" s="966"/>
      <c r="O71" s="966"/>
      <c r="P71" s="966"/>
      <c r="Q71" s="966"/>
      <c r="R71" s="966"/>
      <c r="S71" s="966"/>
      <c r="T71" s="967"/>
    </row>
    <row r="72" spans="1:20">
      <c r="A72" s="353" t="s">
        <v>189</v>
      </c>
      <c r="B72" s="69" t="s">
        <v>69</v>
      </c>
      <c r="C72" s="325"/>
      <c r="D72" s="71"/>
      <c r="E72" s="70"/>
      <c r="F72" s="70"/>
      <c r="G72" s="71"/>
      <c r="H72" s="72"/>
      <c r="I72" s="72"/>
      <c r="J72" s="450"/>
      <c r="K72" s="451">
        <v>2014</v>
      </c>
      <c r="L72" s="452">
        <f t="shared" ref="L72:T72" si="6">K72+1</f>
        <v>2015</v>
      </c>
      <c r="M72" s="452">
        <f t="shared" si="6"/>
        <v>2016</v>
      </c>
      <c r="N72" s="452">
        <f t="shared" si="6"/>
        <v>2017</v>
      </c>
      <c r="O72" s="452">
        <f t="shared" si="6"/>
        <v>2018</v>
      </c>
      <c r="P72" s="452">
        <f t="shared" si="6"/>
        <v>2019</v>
      </c>
      <c r="Q72" s="452">
        <f t="shared" si="6"/>
        <v>2020</v>
      </c>
      <c r="R72" s="452">
        <f t="shared" si="6"/>
        <v>2021</v>
      </c>
      <c r="S72" s="452">
        <f t="shared" si="6"/>
        <v>2022</v>
      </c>
      <c r="T72" s="453">
        <f t="shared" si="6"/>
        <v>2023</v>
      </c>
    </row>
    <row r="73" spans="1:20">
      <c r="A73" s="61" t="s">
        <v>172</v>
      </c>
      <c r="B73" s="73" t="s">
        <v>43</v>
      </c>
      <c r="C73" s="326">
        <v>0.06</v>
      </c>
      <c r="D73" s="327">
        <v>0.58109999999999995</v>
      </c>
      <c r="E73" s="328">
        <v>0.65</v>
      </c>
      <c r="F73" s="328">
        <v>0.68</v>
      </c>
      <c r="G73" s="358">
        <v>2016</v>
      </c>
      <c r="H73" s="359" t="str">
        <f t="shared" ref="H73:H97" si="7">VLOOKUP($A73,$E$54:$F$57,2,FALSE)</f>
        <v>£m 12/13</v>
      </c>
      <c r="I73" s="359" t="s">
        <v>270</v>
      </c>
      <c r="J73" s="450" t="s">
        <v>485</v>
      </c>
      <c r="K73" s="581"/>
      <c r="L73" s="582"/>
      <c r="M73" s="458">
        <f t="shared" ref="M73:M82" si="8">E$64</f>
        <v>2.5499999999999998E-2</v>
      </c>
      <c r="N73" s="458">
        <f t="shared" ref="N73:N82" si="9">F$64</f>
        <v>2.4199999999999999E-2</v>
      </c>
      <c r="O73" s="458">
        <f t="shared" ref="O73:O82" si="10">G$64</f>
        <v>2.29E-2</v>
      </c>
      <c r="P73" s="458">
        <f t="shared" ref="P73:P82" si="11">H$64</f>
        <v>2.0899999999999998E-2</v>
      </c>
      <c r="Q73" s="458">
        <f t="shared" ref="Q73:Q82" si="12">I$64</f>
        <v>1.9400000000000001E-2</v>
      </c>
      <c r="R73" s="458">
        <f t="shared" ref="R73:R82" si="13">J$64</f>
        <v>1.8200000000000001E-2</v>
      </c>
      <c r="S73" s="458">
        <f t="shared" ref="S73:S82" si="14">K$64</f>
        <v>1.72E-2</v>
      </c>
      <c r="T73" s="462">
        <f t="shared" ref="T73:T82" si="15">L$64</f>
        <v>1.6299999999999999E-2</v>
      </c>
    </row>
    <row r="74" spans="1:20">
      <c r="A74" s="61" t="s">
        <v>172</v>
      </c>
      <c r="B74" s="73" t="s">
        <v>44</v>
      </c>
      <c r="C74" s="326">
        <v>0.06</v>
      </c>
      <c r="D74" s="327">
        <v>0.55843703457782867</v>
      </c>
      <c r="E74" s="328">
        <v>0.65</v>
      </c>
      <c r="F74" s="328">
        <v>0.7</v>
      </c>
      <c r="G74" s="358">
        <v>2016</v>
      </c>
      <c r="H74" s="359" t="str">
        <f t="shared" si="7"/>
        <v>£m 12/13</v>
      </c>
      <c r="I74" s="359" t="s">
        <v>270</v>
      </c>
      <c r="J74" s="450" t="s">
        <v>485</v>
      </c>
      <c r="K74" s="581"/>
      <c r="L74" s="582"/>
      <c r="M74" s="458">
        <f t="shared" si="8"/>
        <v>2.5499999999999998E-2</v>
      </c>
      <c r="N74" s="458">
        <f t="shared" si="9"/>
        <v>2.4199999999999999E-2</v>
      </c>
      <c r="O74" s="458">
        <f t="shared" si="10"/>
        <v>2.29E-2</v>
      </c>
      <c r="P74" s="458">
        <f t="shared" si="11"/>
        <v>2.0899999999999998E-2</v>
      </c>
      <c r="Q74" s="458">
        <f t="shared" si="12"/>
        <v>1.9400000000000001E-2</v>
      </c>
      <c r="R74" s="458">
        <f t="shared" si="13"/>
        <v>1.8200000000000001E-2</v>
      </c>
      <c r="S74" s="458">
        <f t="shared" si="14"/>
        <v>1.72E-2</v>
      </c>
      <c r="T74" s="462">
        <f t="shared" si="15"/>
        <v>1.6299999999999999E-2</v>
      </c>
    </row>
    <row r="75" spans="1:20">
      <c r="A75" s="61" t="s">
        <v>172</v>
      </c>
      <c r="B75" s="73" t="s">
        <v>73</v>
      </c>
      <c r="C75" s="326">
        <v>0.06</v>
      </c>
      <c r="D75" s="327">
        <v>0.55843703457782867</v>
      </c>
      <c r="E75" s="328">
        <v>0.65</v>
      </c>
      <c r="F75" s="328">
        <v>0.72</v>
      </c>
      <c r="G75" s="358">
        <v>2016</v>
      </c>
      <c r="H75" s="359" t="str">
        <f t="shared" si="7"/>
        <v>£m 12/13</v>
      </c>
      <c r="I75" s="359" t="s">
        <v>270</v>
      </c>
      <c r="J75" s="450" t="s">
        <v>485</v>
      </c>
      <c r="K75" s="581"/>
      <c r="L75" s="582"/>
      <c r="M75" s="458">
        <f t="shared" si="8"/>
        <v>2.5499999999999998E-2</v>
      </c>
      <c r="N75" s="458">
        <f t="shared" si="9"/>
        <v>2.4199999999999999E-2</v>
      </c>
      <c r="O75" s="458">
        <f t="shared" si="10"/>
        <v>2.29E-2</v>
      </c>
      <c r="P75" s="458">
        <f t="shared" si="11"/>
        <v>2.0899999999999998E-2</v>
      </c>
      <c r="Q75" s="458">
        <f t="shared" si="12"/>
        <v>1.9400000000000001E-2</v>
      </c>
      <c r="R75" s="458">
        <f t="shared" si="13"/>
        <v>1.8200000000000001E-2</v>
      </c>
      <c r="S75" s="458">
        <f t="shared" si="14"/>
        <v>1.72E-2</v>
      </c>
      <c r="T75" s="462">
        <f t="shared" si="15"/>
        <v>1.6299999999999999E-2</v>
      </c>
    </row>
    <row r="76" spans="1:20">
      <c r="A76" s="61" t="s">
        <v>172</v>
      </c>
      <c r="B76" s="73" t="s">
        <v>59</v>
      </c>
      <c r="C76" s="326">
        <v>0.06</v>
      </c>
      <c r="D76" s="327">
        <v>0.53280000000000005</v>
      </c>
      <c r="E76" s="328">
        <v>0.65</v>
      </c>
      <c r="F76" s="328">
        <v>0.68</v>
      </c>
      <c r="G76" s="358">
        <v>2016</v>
      </c>
      <c r="H76" s="359" t="str">
        <f t="shared" si="7"/>
        <v>£m 12/13</v>
      </c>
      <c r="I76" s="359" t="s">
        <v>270</v>
      </c>
      <c r="J76" s="450" t="s">
        <v>485</v>
      </c>
      <c r="K76" s="581"/>
      <c r="L76" s="582"/>
      <c r="M76" s="458">
        <f t="shared" si="8"/>
        <v>2.5499999999999998E-2</v>
      </c>
      <c r="N76" s="458">
        <f t="shared" si="9"/>
        <v>2.4199999999999999E-2</v>
      </c>
      <c r="O76" s="458">
        <f t="shared" si="10"/>
        <v>2.29E-2</v>
      </c>
      <c r="P76" s="458">
        <f t="shared" si="11"/>
        <v>2.0899999999999998E-2</v>
      </c>
      <c r="Q76" s="458">
        <f t="shared" si="12"/>
        <v>1.9400000000000001E-2</v>
      </c>
      <c r="R76" s="458">
        <f t="shared" si="13"/>
        <v>1.8200000000000001E-2</v>
      </c>
      <c r="S76" s="458">
        <f t="shared" si="14"/>
        <v>1.72E-2</v>
      </c>
      <c r="T76" s="462">
        <f t="shared" si="15"/>
        <v>1.6299999999999999E-2</v>
      </c>
    </row>
    <row r="77" spans="1:20">
      <c r="A77" s="61" t="s">
        <v>172</v>
      </c>
      <c r="B77" s="73" t="s">
        <v>57</v>
      </c>
      <c r="C77" s="326">
        <v>0.06</v>
      </c>
      <c r="D77" s="327">
        <v>0.53280000000000005</v>
      </c>
      <c r="E77" s="328">
        <v>0.65</v>
      </c>
      <c r="F77" s="328">
        <v>0.68</v>
      </c>
      <c r="G77" s="358">
        <v>2016</v>
      </c>
      <c r="H77" s="359" t="str">
        <f t="shared" si="7"/>
        <v>£m 12/13</v>
      </c>
      <c r="I77" s="359" t="s">
        <v>270</v>
      </c>
      <c r="J77" s="450" t="s">
        <v>485</v>
      </c>
      <c r="K77" s="581"/>
      <c r="L77" s="582"/>
      <c r="M77" s="458">
        <f t="shared" si="8"/>
        <v>2.5499999999999998E-2</v>
      </c>
      <c r="N77" s="458">
        <f t="shared" si="9"/>
        <v>2.4199999999999999E-2</v>
      </c>
      <c r="O77" s="458">
        <f t="shared" si="10"/>
        <v>2.29E-2</v>
      </c>
      <c r="P77" s="458">
        <f t="shared" si="11"/>
        <v>2.0899999999999998E-2</v>
      </c>
      <c r="Q77" s="458">
        <f t="shared" si="12"/>
        <v>1.9400000000000001E-2</v>
      </c>
      <c r="R77" s="458">
        <f t="shared" si="13"/>
        <v>1.8200000000000001E-2</v>
      </c>
      <c r="S77" s="458">
        <f t="shared" si="14"/>
        <v>1.72E-2</v>
      </c>
      <c r="T77" s="462">
        <f t="shared" si="15"/>
        <v>1.6299999999999999E-2</v>
      </c>
    </row>
    <row r="78" spans="1:20">
      <c r="A78" s="61" t="s">
        <v>172</v>
      </c>
      <c r="B78" s="73" t="s">
        <v>58</v>
      </c>
      <c r="C78" s="326">
        <v>0.06</v>
      </c>
      <c r="D78" s="327">
        <v>0.53280000000000005</v>
      </c>
      <c r="E78" s="328">
        <v>0.65</v>
      </c>
      <c r="F78" s="328">
        <v>0.68</v>
      </c>
      <c r="G78" s="358">
        <v>2016</v>
      </c>
      <c r="H78" s="359" t="str">
        <f t="shared" si="7"/>
        <v>£m 12/13</v>
      </c>
      <c r="I78" s="359" t="s">
        <v>270</v>
      </c>
      <c r="J78" s="450" t="s">
        <v>485</v>
      </c>
      <c r="K78" s="581"/>
      <c r="L78" s="582"/>
      <c r="M78" s="458">
        <f t="shared" si="8"/>
        <v>2.5499999999999998E-2</v>
      </c>
      <c r="N78" s="458">
        <f t="shared" si="9"/>
        <v>2.4199999999999999E-2</v>
      </c>
      <c r="O78" s="458">
        <f t="shared" si="10"/>
        <v>2.29E-2</v>
      </c>
      <c r="P78" s="458">
        <f t="shared" si="11"/>
        <v>2.0899999999999998E-2</v>
      </c>
      <c r="Q78" s="458">
        <f t="shared" si="12"/>
        <v>1.9400000000000001E-2</v>
      </c>
      <c r="R78" s="458">
        <f t="shared" si="13"/>
        <v>1.8200000000000001E-2</v>
      </c>
      <c r="S78" s="458">
        <f t="shared" si="14"/>
        <v>1.72E-2</v>
      </c>
      <c r="T78" s="462">
        <f t="shared" si="15"/>
        <v>1.6299999999999999E-2</v>
      </c>
    </row>
    <row r="79" spans="1:20">
      <c r="A79" s="61" t="s">
        <v>172</v>
      </c>
      <c r="B79" s="73" t="s">
        <v>45</v>
      </c>
      <c r="C79" s="326">
        <v>0.06</v>
      </c>
      <c r="D79" s="327">
        <v>0.53500000000000003</v>
      </c>
      <c r="E79" s="328">
        <v>0.65</v>
      </c>
      <c r="F79" s="328">
        <v>0.8</v>
      </c>
      <c r="G79" s="358">
        <v>2016</v>
      </c>
      <c r="H79" s="359" t="str">
        <f t="shared" si="7"/>
        <v>£m 12/13</v>
      </c>
      <c r="I79" s="359" t="s">
        <v>270</v>
      </c>
      <c r="J79" s="450" t="s">
        <v>485</v>
      </c>
      <c r="K79" s="581"/>
      <c r="L79" s="582"/>
      <c r="M79" s="458">
        <f t="shared" si="8"/>
        <v>2.5499999999999998E-2</v>
      </c>
      <c r="N79" s="458">
        <f t="shared" si="9"/>
        <v>2.4199999999999999E-2</v>
      </c>
      <c r="O79" s="458">
        <f t="shared" si="10"/>
        <v>2.29E-2</v>
      </c>
      <c r="P79" s="458">
        <f t="shared" si="11"/>
        <v>2.0899999999999998E-2</v>
      </c>
      <c r="Q79" s="458">
        <f t="shared" si="12"/>
        <v>1.9400000000000001E-2</v>
      </c>
      <c r="R79" s="458">
        <f t="shared" si="13"/>
        <v>1.8200000000000001E-2</v>
      </c>
      <c r="S79" s="458">
        <f t="shared" si="14"/>
        <v>1.72E-2</v>
      </c>
      <c r="T79" s="462">
        <f t="shared" si="15"/>
        <v>1.6299999999999999E-2</v>
      </c>
    </row>
    <row r="80" spans="1:20">
      <c r="A80" s="61" t="s">
        <v>172</v>
      </c>
      <c r="B80" s="73" t="s">
        <v>46</v>
      </c>
      <c r="C80" s="326">
        <v>0.06</v>
      </c>
      <c r="D80" s="327">
        <v>0.53500000000000003</v>
      </c>
      <c r="E80" s="328">
        <v>0.65</v>
      </c>
      <c r="F80" s="328">
        <v>0.8</v>
      </c>
      <c r="G80" s="358">
        <v>2016</v>
      </c>
      <c r="H80" s="359" t="str">
        <f t="shared" si="7"/>
        <v>£m 12/13</v>
      </c>
      <c r="I80" s="359" t="s">
        <v>270</v>
      </c>
      <c r="J80" s="450" t="s">
        <v>485</v>
      </c>
      <c r="K80" s="581"/>
      <c r="L80" s="582"/>
      <c r="M80" s="458">
        <f t="shared" si="8"/>
        <v>2.5499999999999998E-2</v>
      </c>
      <c r="N80" s="458">
        <f t="shared" si="9"/>
        <v>2.4199999999999999E-2</v>
      </c>
      <c r="O80" s="458">
        <f t="shared" si="10"/>
        <v>2.29E-2</v>
      </c>
      <c r="P80" s="458">
        <f t="shared" si="11"/>
        <v>2.0899999999999998E-2</v>
      </c>
      <c r="Q80" s="458">
        <f t="shared" si="12"/>
        <v>1.9400000000000001E-2</v>
      </c>
      <c r="R80" s="458">
        <f t="shared" si="13"/>
        <v>1.8200000000000001E-2</v>
      </c>
      <c r="S80" s="458">
        <f t="shared" si="14"/>
        <v>1.72E-2</v>
      </c>
      <c r="T80" s="462">
        <f t="shared" si="15"/>
        <v>1.6299999999999999E-2</v>
      </c>
    </row>
    <row r="81" spans="1:20">
      <c r="A81" s="61" t="s">
        <v>172</v>
      </c>
      <c r="B81" s="73" t="s">
        <v>47</v>
      </c>
      <c r="C81" s="326">
        <v>0.06</v>
      </c>
      <c r="D81" s="327">
        <v>0.56469999999999998</v>
      </c>
      <c r="E81" s="328">
        <v>0.65</v>
      </c>
      <c r="F81" s="328">
        <v>0.62</v>
      </c>
      <c r="G81" s="358">
        <v>2016</v>
      </c>
      <c r="H81" s="359" t="str">
        <f t="shared" si="7"/>
        <v>£m 12/13</v>
      </c>
      <c r="I81" s="359" t="s">
        <v>270</v>
      </c>
      <c r="J81" s="450" t="s">
        <v>485</v>
      </c>
      <c r="K81" s="581"/>
      <c r="L81" s="582"/>
      <c r="M81" s="458">
        <f t="shared" si="8"/>
        <v>2.5499999999999998E-2</v>
      </c>
      <c r="N81" s="458">
        <f t="shared" si="9"/>
        <v>2.4199999999999999E-2</v>
      </c>
      <c r="O81" s="458">
        <f t="shared" si="10"/>
        <v>2.29E-2</v>
      </c>
      <c r="P81" s="458">
        <f t="shared" si="11"/>
        <v>2.0899999999999998E-2</v>
      </c>
      <c r="Q81" s="458">
        <f t="shared" si="12"/>
        <v>1.9400000000000001E-2</v>
      </c>
      <c r="R81" s="458">
        <f t="shared" si="13"/>
        <v>1.8200000000000001E-2</v>
      </c>
      <c r="S81" s="458">
        <f t="shared" si="14"/>
        <v>1.72E-2</v>
      </c>
      <c r="T81" s="462">
        <f t="shared" si="15"/>
        <v>1.6299999999999999E-2</v>
      </c>
    </row>
    <row r="82" spans="1:20">
      <c r="A82" s="61" t="s">
        <v>172</v>
      </c>
      <c r="B82" s="73" t="s">
        <v>48</v>
      </c>
      <c r="C82" s="326">
        <v>0.06</v>
      </c>
      <c r="D82" s="327">
        <v>0.56469999999999998</v>
      </c>
      <c r="E82" s="328">
        <v>0.65</v>
      </c>
      <c r="F82" s="328">
        <v>0.7</v>
      </c>
      <c r="G82" s="358">
        <v>2016</v>
      </c>
      <c r="H82" s="359" t="str">
        <f t="shared" si="7"/>
        <v>£m 12/13</v>
      </c>
      <c r="I82" s="359" t="s">
        <v>270</v>
      </c>
      <c r="J82" s="450" t="s">
        <v>485</v>
      </c>
      <c r="K82" s="581"/>
      <c r="L82" s="582"/>
      <c r="M82" s="458">
        <f t="shared" si="8"/>
        <v>2.5499999999999998E-2</v>
      </c>
      <c r="N82" s="458">
        <f t="shared" si="9"/>
        <v>2.4199999999999999E-2</v>
      </c>
      <c r="O82" s="458">
        <f t="shared" si="10"/>
        <v>2.29E-2</v>
      </c>
      <c r="P82" s="458">
        <f t="shared" si="11"/>
        <v>2.0899999999999998E-2</v>
      </c>
      <c r="Q82" s="458">
        <f t="shared" si="12"/>
        <v>1.9400000000000001E-2</v>
      </c>
      <c r="R82" s="458">
        <f t="shared" si="13"/>
        <v>1.8200000000000001E-2</v>
      </c>
      <c r="S82" s="458">
        <f t="shared" si="14"/>
        <v>1.72E-2</v>
      </c>
      <c r="T82" s="462">
        <f t="shared" si="15"/>
        <v>1.6299999999999999E-2</v>
      </c>
    </row>
    <row r="83" spans="1:20">
      <c r="A83" s="61" t="s">
        <v>172</v>
      </c>
      <c r="B83" s="73" t="s">
        <v>246</v>
      </c>
      <c r="C83" s="326">
        <v>6.4000000000000001E-2</v>
      </c>
      <c r="D83" s="327">
        <v>0.7</v>
      </c>
      <c r="E83" s="328">
        <v>0.65</v>
      </c>
      <c r="F83" s="328">
        <v>0.8</v>
      </c>
      <c r="G83" s="358">
        <v>2016</v>
      </c>
      <c r="H83" s="359" t="str">
        <f t="shared" si="7"/>
        <v>£m 12/13</v>
      </c>
      <c r="I83" s="359" t="s">
        <v>271</v>
      </c>
      <c r="J83" s="450" t="s">
        <v>486</v>
      </c>
      <c r="K83" s="581"/>
      <c r="L83" s="582"/>
      <c r="M83" s="458">
        <f t="shared" ref="M83:T86" si="16">E$63</f>
        <v>2.5499999999999998E-2</v>
      </c>
      <c r="N83" s="458">
        <f t="shared" si="16"/>
        <v>2.3799999999999998E-2</v>
      </c>
      <c r="O83" s="458">
        <f t="shared" si="16"/>
        <v>2.2200000000000001E-2</v>
      </c>
      <c r="P83" s="458">
        <f t="shared" si="16"/>
        <v>1.9099999999999999E-2</v>
      </c>
      <c r="Q83" s="458">
        <f t="shared" si="16"/>
        <v>1.5800000000000002E-2</v>
      </c>
      <c r="R83" s="458">
        <f t="shared" si="16"/>
        <v>1.1399999999999999E-2</v>
      </c>
      <c r="S83" s="458">
        <f t="shared" si="16"/>
        <v>9.1999999999999998E-3</v>
      </c>
      <c r="T83" s="462">
        <f t="shared" si="16"/>
        <v>7.1999999999999998E-3</v>
      </c>
    </row>
    <row r="84" spans="1:20">
      <c r="A84" s="61" t="s">
        <v>172</v>
      </c>
      <c r="B84" s="73" t="s">
        <v>247</v>
      </c>
      <c r="C84" s="326">
        <v>6.4000000000000001E-2</v>
      </c>
      <c r="D84" s="327">
        <v>0.7</v>
      </c>
      <c r="E84" s="328">
        <v>0.65</v>
      </c>
      <c r="F84" s="328">
        <v>0.8</v>
      </c>
      <c r="G84" s="358">
        <v>2016</v>
      </c>
      <c r="H84" s="359" t="str">
        <f t="shared" si="7"/>
        <v>£m 12/13</v>
      </c>
      <c r="I84" s="359" t="s">
        <v>271</v>
      </c>
      <c r="J84" s="450" t="s">
        <v>486</v>
      </c>
      <c r="K84" s="581"/>
      <c r="L84" s="582"/>
      <c r="M84" s="458">
        <f t="shared" si="16"/>
        <v>2.5499999999999998E-2</v>
      </c>
      <c r="N84" s="458">
        <f t="shared" si="16"/>
        <v>2.3799999999999998E-2</v>
      </c>
      <c r="O84" s="458">
        <f t="shared" si="16"/>
        <v>2.2200000000000001E-2</v>
      </c>
      <c r="P84" s="458">
        <f t="shared" si="16"/>
        <v>1.9099999999999999E-2</v>
      </c>
      <c r="Q84" s="458">
        <f t="shared" si="16"/>
        <v>1.5800000000000002E-2</v>
      </c>
      <c r="R84" s="458">
        <f t="shared" si="16"/>
        <v>1.1399999999999999E-2</v>
      </c>
      <c r="S84" s="458">
        <f t="shared" si="16"/>
        <v>9.1999999999999998E-3</v>
      </c>
      <c r="T84" s="462">
        <f t="shared" si="16"/>
        <v>7.1999999999999998E-3</v>
      </c>
    </row>
    <row r="85" spans="1:20">
      <c r="A85" s="61" t="s">
        <v>172</v>
      </c>
      <c r="B85" s="73" t="s">
        <v>248</v>
      </c>
      <c r="C85" s="326">
        <v>6.4000000000000001E-2</v>
      </c>
      <c r="D85" s="327">
        <v>0.7</v>
      </c>
      <c r="E85" s="328">
        <v>0.65</v>
      </c>
      <c r="F85" s="328">
        <v>0.8</v>
      </c>
      <c r="G85" s="358">
        <v>2016</v>
      </c>
      <c r="H85" s="359" t="str">
        <f t="shared" si="7"/>
        <v>£m 12/13</v>
      </c>
      <c r="I85" s="359" t="s">
        <v>271</v>
      </c>
      <c r="J85" s="450" t="s">
        <v>486</v>
      </c>
      <c r="K85" s="581"/>
      <c r="L85" s="582"/>
      <c r="M85" s="458">
        <f t="shared" si="16"/>
        <v>2.5499999999999998E-2</v>
      </c>
      <c r="N85" s="458">
        <f t="shared" si="16"/>
        <v>2.3799999999999998E-2</v>
      </c>
      <c r="O85" s="458">
        <f t="shared" si="16"/>
        <v>2.2200000000000001E-2</v>
      </c>
      <c r="P85" s="458">
        <f t="shared" si="16"/>
        <v>1.9099999999999999E-2</v>
      </c>
      <c r="Q85" s="458">
        <f t="shared" si="16"/>
        <v>1.5800000000000002E-2</v>
      </c>
      <c r="R85" s="458">
        <f t="shared" si="16"/>
        <v>1.1399999999999999E-2</v>
      </c>
      <c r="S85" s="458">
        <f t="shared" si="16"/>
        <v>9.1999999999999998E-3</v>
      </c>
      <c r="T85" s="462">
        <f t="shared" si="16"/>
        <v>7.1999999999999998E-3</v>
      </c>
    </row>
    <row r="86" spans="1:20">
      <c r="A86" s="61" t="s">
        <v>172</v>
      </c>
      <c r="B86" s="73" t="s">
        <v>249</v>
      </c>
      <c r="C86" s="326">
        <v>6.4000000000000001E-2</v>
      </c>
      <c r="D86" s="327">
        <v>0.7</v>
      </c>
      <c r="E86" s="328">
        <v>0.65</v>
      </c>
      <c r="F86" s="328">
        <v>0.8</v>
      </c>
      <c r="G86" s="358">
        <v>2016</v>
      </c>
      <c r="H86" s="359" t="str">
        <f t="shared" si="7"/>
        <v>£m 12/13</v>
      </c>
      <c r="I86" s="359" t="s">
        <v>271</v>
      </c>
      <c r="J86" s="450" t="s">
        <v>486</v>
      </c>
      <c r="K86" s="581"/>
      <c r="L86" s="582"/>
      <c r="M86" s="458">
        <f t="shared" si="16"/>
        <v>2.5499999999999998E-2</v>
      </c>
      <c r="N86" s="458">
        <f t="shared" si="16"/>
        <v>2.3799999999999998E-2</v>
      </c>
      <c r="O86" s="458">
        <f t="shared" si="16"/>
        <v>2.2200000000000001E-2</v>
      </c>
      <c r="P86" s="458">
        <f t="shared" si="16"/>
        <v>1.9099999999999999E-2</v>
      </c>
      <c r="Q86" s="458">
        <f t="shared" si="16"/>
        <v>1.5800000000000002E-2</v>
      </c>
      <c r="R86" s="458">
        <f t="shared" si="16"/>
        <v>1.1399999999999999E-2</v>
      </c>
      <c r="S86" s="458">
        <f t="shared" si="16"/>
        <v>9.1999999999999998E-3</v>
      </c>
      <c r="T86" s="462">
        <f t="shared" si="16"/>
        <v>7.1999999999999998E-3</v>
      </c>
    </row>
    <row r="87" spans="1:20">
      <c r="A87" s="61" t="s">
        <v>173</v>
      </c>
      <c r="B87" s="73" t="s">
        <v>53</v>
      </c>
      <c r="C87" s="326">
        <v>6.7000000000000004E-2</v>
      </c>
      <c r="D87" s="327">
        <v>0.63039999999999996</v>
      </c>
      <c r="E87" s="328">
        <v>0.65</v>
      </c>
      <c r="F87" s="328">
        <v>0.26634501855794862</v>
      </c>
      <c r="G87" s="358">
        <v>2014</v>
      </c>
      <c r="H87" s="359" t="str">
        <f t="shared" si="7"/>
        <v>£m 09/10</v>
      </c>
      <c r="I87" s="359" t="s">
        <v>270</v>
      </c>
      <c r="J87" s="450" t="s">
        <v>486</v>
      </c>
      <c r="K87" s="460">
        <f t="shared" ref="K87:R94" si="17">C$67</f>
        <v>2.92E-2</v>
      </c>
      <c r="L87" s="458">
        <f t="shared" si="17"/>
        <v>2.7199999999999998E-2</v>
      </c>
      <c r="M87" s="458">
        <f t="shared" si="17"/>
        <v>2.5499999999999998E-2</v>
      </c>
      <c r="N87" s="458">
        <f t="shared" si="17"/>
        <v>2.3800000000000002E-2</v>
      </c>
      <c r="O87" s="458">
        <f t="shared" si="17"/>
        <v>2.2200000000000001E-2</v>
      </c>
      <c r="P87" s="458">
        <f t="shared" si="17"/>
        <v>1.9099999999999999E-2</v>
      </c>
      <c r="Q87" s="458">
        <f t="shared" si="17"/>
        <v>1.5800000000000002E-2</v>
      </c>
      <c r="R87" s="458">
        <f t="shared" si="17"/>
        <v>1.1399999999999999E-2</v>
      </c>
      <c r="S87" s="582"/>
      <c r="T87" s="583"/>
    </row>
    <row r="88" spans="1:20">
      <c r="A88" s="61" t="s">
        <v>173</v>
      </c>
      <c r="B88" s="73" t="s">
        <v>54</v>
      </c>
      <c r="C88" s="326">
        <v>6.7000000000000004E-2</v>
      </c>
      <c r="D88" s="327">
        <v>0.63039999999999996</v>
      </c>
      <c r="E88" s="328">
        <v>0.65</v>
      </c>
      <c r="F88" s="328">
        <v>0.23469337831705597</v>
      </c>
      <c r="G88" s="358">
        <v>2014</v>
      </c>
      <c r="H88" s="359" t="str">
        <f t="shared" si="7"/>
        <v>£m 09/10</v>
      </c>
      <c r="I88" s="359" t="s">
        <v>270</v>
      </c>
      <c r="J88" s="450" t="s">
        <v>486</v>
      </c>
      <c r="K88" s="460">
        <f t="shared" si="17"/>
        <v>2.92E-2</v>
      </c>
      <c r="L88" s="458">
        <f t="shared" si="17"/>
        <v>2.7199999999999998E-2</v>
      </c>
      <c r="M88" s="458">
        <f t="shared" si="17"/>
        <v>2.5499999999999998E-2</v>
      </c>
      <c r="N88" s="458">
        <f t="shared" si="17"/>
        <v>2.3800000000000002E-2</v>
      </c>
      <c r="O88" s="458">
        <f t="shared" si="17"/>
        <v>2.2200000000000001E-2</v>
      </c>
      <c r="P88" s="458">
        <f t="shared" si="17"/>
        <v>1.9099999999999999E-2</v>
      </c>
      <c r="Q88" s="458">
        <f t="shared" si="17"/>
        <v>1.5800000000000002E-2</v>
      </c>
      <c r="R88" s="458">
        <f t="shared" si="17"/>
        <v>1.1399999999999999E-2</v>
      </c>
      <c r="S88" s="582"/>
      <c r="T88" s="583"/>
    </row>
    <row r="89" spans="1:20">
      <c r="A89" s="61" t="s">
        <v>173</v>
      </c>
      <c r="B89" s="73" t="s">
        <v>55</v>
      </c>
      <c r="C89" s="326">
        <v>6.7000000000000004E-2</v>
      </c>
      <c r="D89" s="327">
        <v>0.63039999999999996</v>
      </c>
      <c r="E89" s="328">
        <v>0.65</v>
      </c>
      <c r="F89" s="328">
        <v>0.24946223864843597</v>
      </c>
      <c r="G89" s="358">
        <v>2014</v>
      </c>
      <c r="H89" s="359" t="str">
        <f t="shared" si="7"/>
        <v>£m 09/10</v>
      </c>
      <c r="I89" s="359" t="s">
        <v>270</v>
      </c>
      <c r="J89" s="450" t="s">
        <v>486</v>
      </c>
      <c r="K89" s="460">
        <f t="shared" si="17"/>
        <v>2.92E-2</v>
      </c>
      <c r="L89" s="458">
        <f t="shared" si="17"/>
        <v>2.7199999999999998E-2</v>
      </c>
      <c r="M89" s="458">
        <f t="shared" si="17"/>
        <v>2.5499999999999998E-2</v>
      </c>
      <c r="N89" s="458">
        <f t="shared" si="17"/>
        <v>2.3800000000000002E-2</v>
      </c>
      <c r="O89" s="458">
        <f t="shared" si="17"/>
        <v>2.2200000000000001E-2</v>
      </c>
      <c r="P89" s="458">
        <f t="shared" si="17"/>
        <v>1.9099999999999999E-2</v>
      </c>
      <c r="Q89" s="458">
        <f t="shared" si="17"/>
        <v>1.5800000000000002E-2</v>
      </c>
      <c r="R89" s="458">
        <f t="shared" si="17"/>
        <v>1.1399999999999999E-2</v>
      </c>
      <c r="S89" s="582"/>
      <c r="T89" s="583"/>
    </row>
    <row r="90" spans="1:20">
      <c r="A90" s="61" t="s">
        <v>173</v>
      </c>
      <c r="B90" s="73" t="s">
        <v>56</v>
      </c>
      <c r="C90" s="326">
        <v>6.7000000000000004E-2</v>
      </c>
      <c r="D90" s="327">
        <v>0.63039999999999996</v>
      </c>
      <c r="E90" s="328">
        <v>0.65</v>
      </c>
      <c r="F90" s="328">
        <v>0.26095352485819256</v>
      </c>
      <c r="G90" s="358">
        <v>2014</v>
      </c>
      <c r="H90" s="359" t="str">
        <f t="shared" si="7"/>
        <v>£m 09/10</v>
      </c>
      <c r="I90" s="359" t="s">
        <v>270</v>
      </c>
      <c r="J90" s="450" t="s">
        <v>486</v>
      </c>
      <c r="K90" s="460">
        <f t="shared" si="17"/>
        <v>2.92E-2</v>
      </c>
      <c r="L90" s="458">
        <f t="shared" si="17"/>
        <v>2.7199999999999998E-2</v>
      </c>
      <c r="M90" s="458">
        <f t="shared" si="17"/>
        <v>2.5499999999999998E-2</v>
      </c>
      <c r="N90" s="458">
        <f t="shared" si="17"/>
        <v>2.3800000000000002E-2</v>
      </c>
      <c r="O90" s="458">
        <f t="shared" si="17"/>
        <v>2.2200000000000001E-2</v>
      </c>
      <c r="P90" s="458">
        <f t="shared" si="17"/>
        <v>1.9099999999999999E-2</v>
      </c>
      <c r="Q90" s="458">
        <f t="shared" si="17"/>
        <v>1.5800000000000002E-2</v>
      </c>
      <c r="R90" s="458">
        <f t="shared" si="17"/>
        <v>1.1399999999999999E-2</v>
      </c>
      <c r="S90" s="582"/>
      <c r="T90" s="583"/>
    </row>
    <row r="91" spans="1:20">
      <c r="A91" s="61" t="s">
        <v>173</v>
      </c>
      <c r="B91" s="73" t="s">
        <v>50</v>
      </c>
      <c r="C91" s="326">
        <v>6.7000000000000004E-2</v>
      </c>
      <c r="D91" s="327">
        <v>0.63980000000000004</v>
      </c>
      <c r="E91" s="328">
        <v>0.65</v>
      </c>
      <c r="F91" s="328">
        <v>0.34984411379298247</v>
      </c>
      <c r="G91" s="358">
        <v>2014</v>
      </c>
      <c r="H91" s="359" t="str">
        <f t="shared" si="7"/>
        <v>£m 09/10</v>
      </c>
      <c r="I91" s="359" t="s">
        <v>270</v>
      </c>
      <c r="J91" s="450" t="s">
        <v>486</v>
      </c>
      <c r="K91" s="460">
        <f t="shared" si="17"/>
        <v>2.92E-2</v>
      </c>
      <c r="L91" s="458">
        <f t="shared" si="17"/>
        <v>2.7199999999999998E-2</v>
      </c>
      <c r="M91" s="458">
        <f t="shared" si="17"/>
        <v>2.5499999999999998E-2</v>
      </c>
      <c r="N91" s="458">
        <f t="shared" si="17"/>
        <v>2.3800000000000002E-2</v>
      </c>
      <c r="O91" s="458">
        <f t="shared" si="17"/>
        <v>2.2200000000000001E-2</v>
      </c>
      <c r="P91" s="458">
        <f t="shared" si="17"/>
        <v>1.9099999999999999E-2</v>
      </c>
      <c r="Q91" s="458">
        <f t="shared" si="17"/>
        <v>1.5800000000000002E-2</v>
      </c>
      <c r="R91" s="458">
        <f t="shared" si="17"/>
        <v>1.1399999999999999E-2</v>
      </c>
      <c r="S91" s="582"/>
      <c r="T91" s="583"/>
    </row>
    <row r="92" spans="1:20">
      <c r="A92" s="61" t="s">
        <v>173</v>
      </c>
      <c r="B92" s="73" t="s">
        <v>52</v>
      </c>
      <c r="C92" s="326">
        <v>6.7000000000000004E-2</v>
      </c>
      <c r="D92" s="327">
        <v>0.63729999999999998</v>
      </c>
      <c r="E92" s="328">
        <v>0.65</v>
      </c>
      <c r="F92" s="328">
        <v>0.35129049661183626</v>
      </c>
      <c r="G92" s="358">
        <v>2014</v>
      </c>
      <c r="H92" s="359" t="str">
        <f t="shared" si="7"/>
        <v>£m 09/10</v>
      </c>
      <c r="I92" s="359" t="s">
        <v>270</v>
      </c>
      <c r="J92" s="450" t="s">
        <v>486</v>
      </c>
      <c r="K92" s="460">
        <f t="shared" si="17"/>
        <v>2.92E-2</v>
      </c>
      <c r="L92" s="458">
        <f t="shared" si="17"/>
        <v>2.7199999999999998E-2</v>
      </c>
      <c r="M92" s="458">
        <f t="shared" si="17"/>
        <v>2.5499999999999998E-2</v>
      </c>
      <c r="N92" s="458">
        <f t="shared" si="17"/>
        <v>2.3800000000000002E-2</v>
      </c>
      <c r="O92" s="458">
        <f t="shared" si="17"/>
        <v>2.2200000000000001E-2</v>
      </c>
      <c r="P92" s="458">
        <f t="shared" si="17"/>
        <v>1.9099999999999999E-2</v>
      </c>
      <c r="Q92" s="458">
        <f t="shared" si="17"/>
        <v>1.5800000000000002E-2</v>
      </c>
      <c r="R92" s="458">
        <f t="shared" si="17"/>
        <v>1.1399999999999999E-2</v>
      </c>
      <c r="S92" s="582"/>
      <c r="T92" s="583"/>
    </row>
    <row r="93" spans="1:20">
      <c r="A93" s="61" t="s">
        <v>173</v>
      </c>
      <c r="B93" s="73" t="s">
        <v>51</v>
      </c>
      <c r="C93" s="326">
        <v>6.7000000000000004E-2</v>
      </c>
      <c r="D93" s="327">
        <v>0.63729999999999998</v>
      </c>
      <c r="E93" s="328">
        <v>0.65</v>
      </c>
      <c r="F93" s="328">
        <v>0.32230855902021693</v>
      </c>
      <c r="G93" s="358">
        <v>2014</v>
      </c>
      <c r="H93" s="359" t="str">
        <f t="shared" si="7"/>
        <v>£m 09/10</v>
      </c>
      <c r="I93" s="359" t="s">
        <v>270</v>
      </c>
      <c r="J93" s="450" t="s">
        <v>486</v>
      </c>
      <c r="K93" s="460">
        <f t="shared" si="17"/>
        <v>2.92E-2</v>
      </c>
      <c r="L93" s="458">
        <f t="shared" si="17"/>
        <v>2.7199999999999998E-2</v>
      </c>
      <c r="M93" s="458">
        <f t="shared" si="17"/>
        <v>2.5499999999999998E-2</v>
      </c>
      <c r="N93" s="458">
        <f t="shared" si="17"/>
        <v>2.3800000000000002E-2</v>
      </c>
      <c r="O93" s="458">
        <f t="shared" si="17"/>
        <v>2.2200000000000001E-2</v>
      </c>
      <c r="P93" s="458">
        <f t="shared" si="17"/>
        <v>1.9099999999999999E-2</v>
      </c>
      <c r="Q93" s="458">
        <f t="shared" si="17"/>
        <v>1.5800000000000002E-2</v>
      </c>
      <c r="R93" s="458">
        <f t="shared" si="17"/>
        <v>1.1399999999999999E-2</v>
      </c>
      <c r="S93" s="582"/>
      <c r="T93" s="583"/>
    </row>
    <row r="94" spans="1:20">
      <c r="A94" s="61" t="s">
        <v>173</v>
      </c>
      <c r="B94" s="73" t="s">
        <v>49</v>
      </c>
      <c r="C94" s="326">
        <v>6.7000000000000004E-2</v>
      </c>
      <c r="D94" s="327">
        <v>0.63170000000000004</v>
      </c>
      <c r="E94" s="328">
        <v>0.65</v>
      </c>
      <c r="F94" s="328">
        <v>0.35781904469402892</v>
      </c>
      <c r="G94" s="358">
        <v>2014</v>
      </c>
      <c r="H94" s="359" t="str">
        <f t="shared" si="7"/>
        <v>£m 09/10</v>
      </c>
      <c r="I94" s="359" t="s">
        <v>270</v>
      </c>
      <c r="J94" s="450" t="s">
        <v>486</v>
      </c>
      <c r="K94" s="460">
        <f t="shared" si="17"/>
        <v>2.92E-2</v>
      </c>
      <c r="L94" s="458">
        <f t="shared" si="17"/>
        <v>2.7199999999999998E-2</v>
      </c>
      <c r="M94" s="458">
        <f t="shared" si="17"/>
        <v>2.5499999999999998E-2</v>
      </c>
      <c r="N94" s="458">
        <f t="shared" si="17"/>
        <v>2.3800000000000002E-2</v>
      </c>
      <c r="O94" s="458">
        <f t="shared" si="17"/>
        <v>2.2200000000000001E-2</v>
      </c>
      <c r="P94" s="458">
        <f t="shared" si="17"/>
        <v>1.9099999999999999E-2</v>
      </c>
      <c r="Q94" s="458">
        <f t="shared" si="17"/>
        <v>1.5800000000000002E-2</v>
      </c>
      <c r="R94" s="458">
        <f t="shared" si="17"/>
        <v>1.1399999999999999E-2</v>
      </c>
      <c r="S94" s="582"/>
      <c r="T94" s="583"/>
    </row>
    <row r="95" spans="1:20">
      <c r="A95" s="61" t="s">
        <v>175</v>
      </c>
      <c r="B95" s="73" t="s">
        <v>113</v>
      </c>
      <c r="C95" s="326">
        <v>6.8000000000000005E-2</v>
      </c>
      <c r="D95" s="327">
        <v>0.44359999999999999</v>
      </c>
      <c r="E95" s="328">
        <v>0.625</v>
      </c>
      <c r="F95" s="328">
        <v>0.64400000000000002</v>
      </c>
      <c r="G95" s="358">
        <v>2014</v>
      </c>
      <c r="H95" s="359" t="str">
        <f t="shared" si="7"/>
        <v>£m 09/10</v>
      </c>
      <c r="I95" s="359" t="s">
        <v>270</v>
      </c>
      <c r="J95" s="450" t="s">
        <v>486</v>
      </c>
      <c r="K95" s="460">
        <f t="shared" ref="K95:R96" si="18">C$68</f>
        <v>2.92E-2</v>
      </c>
      <c r="L95" s="458">
        <f t="shared" si="18"/>
        <v>2.7199999999999998E-2</v>
      </c>
      <c r="M95" s="458">
        <f t="shared" si="18"/>
        <v>2.5499999999999998E-2</v>
      </c>
      <c r="N95" s="458">
        <f t="shared" si="18"/>
        <v>2.3800000000000002E-2</v>
      </c>
      <c r="O95" s="458">
        <f t="shared" si="18"/>
        <v>2.2200000000000001E-2</v>
      </c>
      <c r="P95" s="458">
        <f t="shared" si="18"/>
        <v>1.9099999999999999E-2</v>
      </c>
      <c r="Q95" s="458">
        <f t="shared" si="18"/>
        <v>1.5800000000000002E-2</v>
      </c>
      <c r="R95" s="458">
        <f t="shared" si="18"/>
        <v>1.1399999999999999E-2</v>
      </c>
      <c r="S95" s="582"/>
      <c r="T95" s="583"/>
    </row>
    <row r="96" spans="1:20">
      <c r="A96" s="61" t="s">
        <v>175</v>
      </c>
      <c r="B96" s="73" t="s">
        <v>114</v>
      </c>
      <c r="C96" s="326">
        <v>6.8000000000000005E-2</v>
      </c>
      <c r="D96" s="327">
        <v>0.44359999999999999</v>
      </c>
      <c r="E96" s="328">
        <v>0.625</v>
      </c>
      <c r="F96" s="328">
        <v>0.374</v>
      </c>
      <c r="G96" s="358">
        <v>2014</v>
      </c>
      <c r="H96" s="359" t="str">
        <f t="shared" si="7"/>
        <v>£m 09/10</v>
      </c>
      <c r="I96" s="359" t="s">
        <v>270</v>
      </c>
      <c r="J96" s="450" t="s">
        <v>486</v>
      </c>
      <c r="K96" s="460">
        <f t="shared" si="18"/>
        <v>2.92E-2</v>
      </c>
      <c r="L96" s="458">
        <f t="shared" si="18"/>
        <v>2.7199999999999998E-2</v>
      </c>
      <c r="M96" s="458">
        <f t="shared" si="18"/>
        <v>2.5499999999999998E-2</v>
      </c>
      <c r="N96" s="458">
        <f t="shared" si="18"/>
        <v>2.3800000000000002E-2</v>
      </c>
      <c r="O96" s="458">
        <f t="shared" si="18"/>
        <v>2.2200000000000001E-2</v>
      </c>
      <c r="P96" s="458">
        <f t="shared" si="18"/>
        <v>1.9099999999999999E-2</v>
      </c>
      <c r="Q96" s="458">
        <f t="shared" si="18"/>
        <v>1.5800000000000002E-2</v>
      </c>
      <c r="R96" s="458">
        <f t="shared" si="18"/>
        <v>1.1399999999999999E-2</v>
      </c>
      <c r="S96" s="582"/>
      <c r="T96" s="583"/>
    </row>
    <row r="97" spans="1:20">
      <c r="A97" s="61" t="s">
        <v>174</v>
      </c>
      <c r="B97" s="73" t="s">
        <v>111</v>
      </c>
      <c r="C97" s="326">
        <v>7.0000000000000007E-2</v>
      </c>
      <c r="D97" s="327">
        <v>0.46889999999999998</v>
      </c>
      <c r="E97" s="328">
        <v>0.6</v>
      </c>
      <c r="F97" s="328">
        <v>0.85</v>
      </c>
      <c r="G97" s="358">
        <v>2014</v>
      </c>
      <c r="H97" s="359" t="str">
        <f t="shared" si="7"/>
        <v>£m 09/10</v>
      </c>
      <c r="I97" s="359" t="s">
        <v>270</v>
      </c>
      <c r="J97" s="450" t="s">
        <v>486</v>
      </c>
      <c r="K97" s="460">
        <f t="shared" ref="K97:R99" si="19">C$66</f>
        <v>2.92E-2</v>
      </c>
      <c r="L97" s="458">
        <f t="shared" si="19"/>
        <v>2.7199999999999998E-2</v>
      </c>
      <c r="M97" s="458">
        <f t="shared" si="19"/>
        <v>2.5499999999999998E-2</v>
      </c>
      <c r="N97" s="458">
        <f t="shared" si="19"/>
        <v>2.3800000000000002E-2</v>
      </c>
      <c r="O97" s="458">
        <f t="shared" si="19"/>
        <v>2.2200000000000001E-2</v>
      </c>
      <c r="P97" s="458">
        <f t="shared" si="19"/>
        <v>1.9099999999999999E-2</v>
      </c>
      <c r="Q97" s="458">
        <f t="shared" si="19"/>
        <v>1.5800000000000002E-2</v>
      </c>
      <c r="R97" s="458">
        <f t="shared" si="19"/>
        <v>1.1399999999999999E-2</v>
      </c>
      <c r="S97" s="582"/>
      <c r="T97" s="583"/>
    </row>
    <row r="98" spans="1:20">
      <c r="A98" s="61" t="s">
        <v>174</v>
      </c>
      <c r="B98" s="73" t="s">
        <v>112</v>
      </c>
      <c r="C98" s="326">
        <v>7.0000000000000007E-2</v>
      </c>
      <c r="D98" s="327">
        <v>0.46889999999999998</v>
      </c>
      <c r="E98" s="328">
        <v>0.6</v>
      </c>
      <c r="F98" s="328">
        <v>0.27900000000000003</v>
      </c>
      <c r="G98" s="345">
        <v>2014</v>
      </c>
      <c r="H98" s="346" t="str">
        <f>VLOOKUP($A98,$E$54:$F$57,2,FALSE)</f>
        <v>£m 09/10</v>
      </c>
      <c r="I98" s="343" t="s">
        <v>270</v>
      </c>
      <c r="J98" s="450" t="s">
        <v>486</v>
      </c>
      <c r="K98" s="460">
        <f t="shared" si="19"/>
        <v>2.92E-2</v>
      </c>
      <c r="L98" s="458">
        <f t="shared" si="19"/>
        <v>2.7199999999999998E-2</v>
      </c>
      <c r="M98" s="458">
        <f t="shared" si="19"/>
        <v>2.5499999999999998E-2</v>
      </c>
      <c r="N98" s="458">
        <f t="shared" si="19"/>
        <v>2.3800000000000002E-2</v>
      </c>
      <c r="O98" s="458">
        <f t="shared" si="19"/>
        <v>2.2200000000000001E-2</v>
      </c>
      <c r="P98" s="458">
        <f t="shared" si="19"/>
        <v>1.9099999999999999E-2</v>
      </c>
      <c r="Q98" s="458">
        <f t="shared" si="19"/>
        <v>1.5800000000000002E-2</v>
      </c>
      <c r="R98" s="458">
        <f t="shared" si="19"/>
        <v>1.1399999999999999E-2</v>
      </c>
      <c r="S98" s="582"/>
      <c r="T98" s="583"/>
    </row>
    <row r="99" spans="1:20">
      <c r="A99" s="61" t="s">
        <v>174</v>
      </c>
      <c r="B99" s="73" t="s">
        <v>60</v>
      </c>
      <c r="C99" s="326">
        <v>7.0000000000000007E-2</v>
      </c>
      <c r="D99" s="327">
        <v>0.5</v>
      </c>
      <c r="E99" s="328">
        <v>0.55000000000000004</v>
      </c>
      <c r="F99" s="328">
        <v>0.9</v>
      </c>
      <c r="G99" s="345">
        <v>2014</v>
      </c>
      <c r="H99" s="346" t="str">
        <f>VLOOKUP($A99,$E$54:$F$57,2,FALSE)</f>
        <v>£m 09/10</v>
      </c>
      <c r="I99" s="343" t="s">
        <v>271</v>
      </c>
      <c r="J99" s="450" t="s">
        <v>486</v>
      </c>
      <c r="K99" s="460">
        <f t="shared" si="19"/>
        <v>2.92E-2</v>
      </c>
      <c r="L99" s="458">
        <f t="shared" si="19"/>
        <v>2.7199999999999998E-2</v>
      </c>
      <c r="M99" s="458">
        <f t="shared" si="19"/>
        <v>2.5499999999999998E-2</v>
      </c>
      <c r="N99" s="458">
        <f t="shared" si="19"/>
        <v>2.3800000000000002E-2</v>
      </c>
      <c r="O99" s="458">
        <f t="shared" si="19"/>
        <v>2.2200000000000001E-2</v>
      </c>
      <c r="P99" s="458">
        <f t="shared" si="19"/>
        <v>1.9099999999999999E-2</v>
      </c>
      <c r="Q99" s="458">
        <f t="shared" si="19"/>
        <v>1.5800000000000002E-2</v>
      </c>
      <c r="R99" s="458">
        <f t="shared" si="19"/>
        <v>1.1399999999999999E-2</v>
      </c>
      <c r="S99" s="582"/>
      <c r="T99" s="583"/>
    </row>
    <row r="100" spans="1:20">
      <c r="A100" s="61" t="s">
        <v>174</v>
      </c>
      <c r="B100" s="74" t="s">
        <v>61</v>
      </c>
      <c r="C100" s="329">
        <v>7.0000000000000007E-2</v>
      </c>
      <c r="D100" s="330">
        <v>0.5</v>
      </c>
      <c r="E100" s="331">
        <v>0.55000000000000004</v>
      </c>
      <c r="F100" s="331">
        <v>0.9</v>
      </c>
      <c r="G100" s="347">
        <v>2014</v>
      </c>
      <c r="H100" s="348" t="str">
        <f>VLOOKUP($A100,$E$54:$F$57,2,FALSE)</f>
        <v>£m 09/10</v>
      </c>
      <c r="I100" s="344" t="s">
        <v>271</v>
      </c>
      <c r="J100" s="450" t="s">
        <v>486</v>
      </c>
      <c r="K100" s="461">
        <f t="shared" ref="K100:R100" si="20">C$65</f>
        <v>2.92E-2</v>
      </c>
      <c r="L100" s="459">
        <f t="shared" si="20"/>
        <v>2.5000000000000001E-2</v>
      </c>
      <c r="M100" s="459">
        <f t="shared" si="20"/>
        <v>2.1499999999999998E-2</v>
      </c>
      <c r="N100" s="459">
        <f t="shared" si="20"/>
        <v>1.7899999999999999E-2</v>
      </c>
      <c r="O100" s="459">
        <f t="shared" si="20"/>
        <v>1.5100000000000001E-2</v>
      </c>
      <c r="P100" s="459">
        <f t="shared" si="20"/>
        <v>1.1599999999999999E-2</v>
      </c>
      <c r="Q100" s="459">
        <f t="shared" si="20"/>
        <v>1.0200000000000001E-2</v>
      </c>
      <c r="R100" s="459">
        <f t="shared" si="20"/>
        <v>8.6E-3</v>
      </c>
      <c r="S100" s="584"/>
      <c r="T100" s="585"/>
    </row>
    <row r="101" spans="1:20">
      <c r="I101" s="68"/>
    </row>
    <row r="102" spans="1:20">
      <c r="I102" s="68"/>
    </row>
    <row r="103" spans="1:20">
      <c r="I103" s="68"/>
    </row>
    <row r="104" spans="1:20" ht="13.5">
      <c r="B104" s="14" t="s">
        <v>250</v>
      </c>
      <c r="D104" s="313"/>
      <c r="E104" s="313"/>
      <c r="F104" s="313"/>
      <c r="G104" s="313"/>
      <c r="H104" s="313"/>
      <c r="I104" s="313"/>
      <c r="J104" s="313"/>
    </row>
    <row r="105" spans="1:20">
      <c r="B105" s="14"/>
      <c r="C105" s="119">
        <v>2014</v>
      </c>
      <c r="D105" s="120">
        <f>C105+1</f>
        <v>2015</v>
      </c>
      <c r="E105" s="120">
        <f t="shared" ref="E105:J105" si="21">D105+1</f>
        <v>2016</v>
      </c>
      <c r="F105" s="120">
        <f>E105+1</f>
        <v>2017</v>
      </c>
      <c r="G105" s="120">
        <f t="shared" si="21"/>
        <v>2018</v>
      </c>
      <c r="H105" s="120">
        <f t="shared" si="21"/>
        <v>2019</v>
      </c>
      <c r="I105" s="120">
        <f t="shared" si="21"/>
        <v>2020</v>
      </c>
      <c r="J105" s="120">
        <f t="shared" si="21"/>
        <v>2021</v>
      </c>
    </row>
    <row r="106" spans="1:20">
      <c r="B106" s="321" t="s">
        <v>53</v>
      </c>
      <c r="C106" s="318">
        <v>0.5</v>
      </c>
      <c r="D106" s="318">
        <v>0.5714285714285714</v>
      </c>
      <c r="E106" s="318">
        <v>0.64285714285714279</v>
      </c>
      <c r="F106" s="318">
        <v>0.71428571428571419</v>
      </c>
      <c r="G106" s="318">
        <v>0.78571428571428559</v>
      </c>
      <c r="H106" s="318">
        <v>0.85714285714285698</v>
      </c>
      <c r="I106" s="318">
        <v>0.92857142857142838</v>
      </c>
      <c r="J106" s="319">
        <v>1</v>
      </c>
    </row>
    <row r="107" spans="1:20">
      <c r="B107" s="322" t="s">
        <v>54</v>
      </c>
      <c r="C107" s="229">
        <v>0.5</v>
      </c>
      <c r="D107" s="229">
        <v>0.5714285714285714</v>
      </c>
      <c r="E107" s="229">
        <v>0.64285714285714279</v>
      </c>
      <c r="F107" s="229">
        <v>0.71428571428571419</v>
      </c>
      <c r="G107" s="229">
        <v>0.78571428571428559</v>
      </c>
      <c r="H107" s="229">
        <v>0.85714285714285698</v>
      </c>
      <c r="I107" s="229">
        <v>0.92857142857142838</v>
      </c>
      <c r="J107" s="230">
        <v>1</v>
      </c>
    </row>
    <row r="108" spans="1:20">
      <c r="B108" s="322" t="s">
        <v>55</v>
      </c>
      <c r="C108" s="229">
        <v>0.5</v>
      </c>
      <c r="D108" s="229">
        <v>0.5714285714285714</v>
      </c>
      <c r="E108" s="229">
        <v>0.64285714285714279</v>
      </c>
      <c r="F108" s="229">
        <v>0.71428571428571419</v>
      </c>
      <c r="G108" s="229">
        <v>0.78571428571428559</v>
      </c>
      <c r="H108" s="229">
        <v>0.85714285714285698</v>
      </c>
      <c r="I108" s="229">
        <v>0.92857142857142838</v>
      </c>
      <c r="J108" s="230">
        <v>1</v>
      </c>
    </row>
    <row r="109" spans="1:20">
      <c r="B109" s="322" t="s">
        <v>56</v>
      </c>
      <c r="C109" s="229">
        <v>0.5</v>
      </c>
      <c r="D109" s="229">
        <v>0.5714285714285714</v>
      </c>
      <c r="E109" s="229">
        <v>0.64285714285714279</v>
      </c>
      <c r="F109" s="229">
        <v>0.71428571428571419</v>
      </c>
      <c r="G109" s="229">
        <v>0.78571428571428559</v>
      </c>
      <c r="H109" s="229">
        <v>0.85714285714285698</v>
      </c>
      <c r="I109" s="229">
        <v>0.92857142857142838</v>
      </c>
      <c r="J109" s="230">
        <v>1</v>
      </c>
    </row>
    <row r="110" spans="1:20">
      <c r="B110" s="322" t="s">
        <v>50</v>
      </c>
      <c r="C110" s="229">
        <v>0.5</v>
      </c>
      <c r="D110" s="229">
        <v>0.5714285714285714</v>
      </c>
      <c r="E110" s="229">
        <v>0.64285714285714279</v>
      </c>
      <c r="F110" s="229">
        <v>0.71428571428571419</v>
      </c>
      <c r="G110" s="229">
        <v>0.78571428571428559</v>
      </c>
      <c r="H110" s="229">
        <v>0.85714285714285698</v>
      </c>
      <c r="I110" s="229">
        <v>0.92857142857142838</v>
      </c>
      <c r="J110" s="230">
        <v>1</v>
      </c>
    </row>
    <row r="111" spans="1:20">
      <c r="B111" s="322" t="s">
        <v>52</v>
      </c>
      <c r="C111" s="229">
        <v>0.5</v>
      </c>
      <c r="D111" s="229">
        <v>0.5714285714285714</v>
      </c>
      <c r="E111" s="229">
        <v>0.64285714285714279</v>
      </c>
      <c r="F111" s="229">
        <v>0.71428571428571419</v>
      </c>
      <c r="G111" s="229">
        <v>0.78571428571428559</v>
      </c>
      <c r="H111" s="229">
        <v>0.85714285714285698</v>
      </c>
      <c r="I111" s="229">
        <v>0.92857142857142838</v>
      </c>
      <c r="J111" s="230">
        <v>1</v>
      </c>
    </row>
    <row r="112" spans="1:20">
      <c r="B112" s="322" t="s">
        <v>51</v>
      </c>
      <c r="C112" s="229">
        <v>0.5</v>
      </c>
      <c r="D112" s="229">
        <v>0.5714285714285714</v>
      </c>
      <c r="E112" s="229">
        <v>0.64285714285714279</v>
      </c>
      <c r="F112" s="229">
        <v>0.71428571428571419</v>
      </c>
      <c r="G112" s="229">
        <v>0.78571428571428559</v>
      </c>
      <c r="H112" s="229">
        <v>0.85714285714285698</v>
      </c>
      <c r="I112" s="229">
        <v>0.92857142857142838</v>
      </c>
      <c r="J112" s="230">
        <v>1</v>
      </c>
    </row>
    <row r="113" spans="2:15">
      <c r="B113" s="443" t="s">
        <v>49</v>
      </c>
      <c r="C113" s="444">
        <v>0.5</v>
      </c>
      <c r="D113" s="444">
        <v>0.5714285714285714</v>
      </c>
      <c r="E113" s="444">
        <v>0.64285714285714279</v>
      </c>
      <c r="F113" s="444">
        <v>0.71428571428571419</v>
      </c>
      <c r="G113" s="444">
        <v>0.78571428571428559</v>
      </c>
      <c r="H113" s="444">
        <v>0.85714285714285698</v>
      </c>
      <c r="I113" s="444">
        <v>0.92857142857142838</v>
      </c>
      <c r="J113" s="445">
        <v>1</v>
      </c>
    </row>
    <row r="114" spans="2:15">
      <c r="B114" s="322" t="s">
        <v>113</v>
      </c>
      <c r="C114" s="229">
        <v>0.9</v>
      </c>
      <c r="D114" s="229">
        <v>0.9</v>
      </c>
      <c r="E114" s="229">
        <v>0.9</v>
      </c>
      <c r="F114" s="229">
        <v>0.9</v>
      </c>
      <c r="G114" s="229">
        <v>0.9</v>
      </c>
      <c r="H114" s="229">
        <v>0.9</v>
      </c>
      <c r="I114" s="229">
        <v>0.9</v>
      </c>
      <c r="J114" s="230">
        <v>0.9</v>
      </c>
    </row>
    <row r="115" spans="2:15">
      <c r="B115" s="323" t="s">
        <v>114</v>
      </c>
      <c r="C115" s="589"/>
      <c r="D115" s="589"/>
      <c r="E115" s="589"/>
      <c r="F115" s="589"/>
      <c r="G115" s="589"/>
      <c r="H115" s="589"/>
      <c r="I115" s="589"/>
      <c r="J115" s="589"/>
    </row>
    <row r="116" spans="2:15">
      <c r="B116" s="423"/>
      <c r="C116" s="484"/>
      <c r="D116" s="484"/>
      <c r="E116" s="484"/>
      <c r="F116" s="484"/>
      <c r="G116" s="484"/>
      <c r="H116" s="484"/>
      <c r="I116" s="484"/>
      <c r="J116" s="484"/>
      <c r="M116" s="32"/>
      <c r="N116" s="32"/>
      <c r="O116" s="32"/>
    </row>
    <row r="117" spans="2:15">
      <c r="B117" s="423"/>
      <c r="C117" s="484"/>
      <c r="D117" s="484"/>
      <c r="E117" s="484"/>
      <c r="F117" s="484"/>
      <c r="G117" s="484"/>
      <c r="H117" s="484"/>
      <c r="I117" s="484"/>
      <c r="J117" s="484"/>
      <c r="K117" s="385"/>
      <c r="L117" s="385"/>
      <c r="M117" s="32"/>
      <c r="N117" s="32"/>
      <c r="O117" s="32"/>
    </row>
    <row r="118" spans="2:15">
      <c r="B118" s="494" t="s">
        <v>214</v>
      </c>
      <c r="C118" s="119">
        <v>2014</v>
      </c>
      <c r="D118" s="120">
        <f t="shared" ref="D118:L118" si="22">C118+1</f>
        <v>2015</v>
      </c>
      <c r="E118" s="120">
        <f t="shared" si="22"/>
        <v>2016</v>
      </c>
      <c r="F118" s="120">
        <f t="shared" si="22"/>
        <v>2017</v>
      </c>
      <c r="G118" s="120">
        <f t="shared" si="22"/>
        <v>2018</v>
      </c>
      <c r="H118" s="120">
        <f t="shared" si="22"/>
        <v>2019</v>
      </c>
      <c r="I118" s="120">
        <f t="shared" si="22"/>
        <v>2020</v>
      </c>
      <c r="J118" s="120">
        <f t="shared" si="22"/>
        <v>2021</v>
      </c>
      <c r="K118" s="120">
        <f t="shared" si="22"/>
        <v>2022</v>
      </c>
      <c r="L118" s="204">
        <f t="shared" si="22"/>
        <v>2023</v>
      </c>
      <c r="M118" s="32"/>
      <c r="N118" s="32"/>
      <c r="O118" s="32"/>
    </row>
    <row r="119" spans="2:15">
      <c r="B119" s="485" t="s">
        <v>43</v>
      </c>
      <c r="C119" s="586"/>
      <c r="D119" s="587"/>
      <c r="E119" s="487">
        <v>1.5575632164737283</v>
      </c>
      <c r="F119" s="487">
        <v>1.4734141240658321</v>
      </c>
      <c r="G119" s="487">
        <v>1.4689588897025405</v>
      </c>
      <c r="H119" s="487">
        <v>1.4707200530126929</v>
      </c>
      <c r="I119" s="487">
        <v>1.4674716260161711</v>
      </c>
      <c r="J119" s="487">
        <v>1.4486206224386007</v>
      </c>
      <c r="K119" s="487">
        <v>1.4956798325868756</v>
      </c>
      <c r="L119" s="488">
        <v>1.4397148718051931</v>
      </c>
      <c r="M119" s="32"/>
      <c r="N119" s="32"/>
      <c r="O119" s="32"/>
    </row>
    <row r="120" spans="2:15">
      <c r="B120" s="485" t="s">
        <v>44</v>
      </c>
      <c r="C120" s="588"/>
      <c r="D120" s="589"/>
      <c r="E120" s="489">
        <v>-0.65871781800535345</v>
      </c>
      <c r="F120" s="489">
        <v>-0.63543772576063684</v>
      </c>
      <c r="G120" s="489">
        <v>-0.58907862874233818</v>
      </c>
      <c r="H120" s="489">
        <v>-0.58178188190178026</v>
      </c>
      <c r="I120" s="489">
        <v>-0.56823918867341305</v>
      </c>
      <c r="J120" s="489">
        <v>-0.51933170333654122</v>
      </c>
      <c r="K120" s="489">
        <v>-0.47962665852661612</v>
      </c>
      <c r="L120" s="490">
        <v>-0.4656874701170608</v>
      </c>
      <c r="M120" s="32"/>
      <c r="N120" s="32"/>
      <c r="O120" s="32"/>
    </row>
    <row r="121" spans="2:15">
      <c r="B121" s="485" t="s">
        <v>73</v>
      </c>
      <c r="C121" s="588"/>
      <c r="D121" s="589"/>
      <c r="E121" s="489">
        <v>-0.86626036283610952</v>
      </c>
      <c r="F121" s="489">
        <v>-0.81019773780890636</v>
      </c>
      <c r="G121" s="489">
        <v>-0.78919084241395188</v>
      </c>
      <c r="H121" s="489">
        <v>-0.79061873066036981</v>
      </c>
      <c r="I121" s="489">
        <v>-0.74432653414361061</v>
      </c>
      <c r="J121" s="489">
        <v>-0.70697274816976396</v>
      </c>
      <c r="K121" s="489">
        <v>-0.65350946162011747</v>
      </c>
      <c r="L121" s="490">
        <v>-0.66429758885743451</v>
      </c>
      <c r="M121" s="32"/>
      <c r="N121" s="32"/>
      <c r="O121" s="32"/>
    </row>
    <row r="122" spans="2:15">
      <c r="B122" s="485" t="s">
        <v>59</v>
      </c>
      <c r="C122" s="588"/>
      <c r="D122" s="589"/>
      <c r="E122" s="489">
        <v>-3.2612134183503572</v>
      </c>
      <c r="F122" s="489">
        <v>-3.3462554451402173</v>
      </c>
      <c r="G122" s="489">
        <v>-3.1732919768141143</v>
      </c>
      <c r="H122" s="489">
        <v>-3.1232404745251841</v>
      </c>
      <c r="I122" s="489">
        <v>-3.0767551306224106</v>
      </c>
      <c r="J122" s="489">
        <v>-2.9342177182087767</v>
      </c>
      <c r="K122" s="489">
        <v>-2.8825938479182072</v>
      </c>
      <c r="L122" s="490">
        <v>-2.7237011003750218</v>
      </c>
      <c r="M122" s="32"/>
      <c r="N122" s="32"/>
      <c r="O122" s="32"/>
    </row>
    <row r="123" spans="2:15">
      <c r="B123" s="485" t="s">
        <v>57</v>
      </c>
      <c r="C123" s="588"/>
      <c r="D123" s="589"/>
      <c r="E123" s="489">
        <v>-2.4260972367898193</v>
      </c>
      <c r="F123" s="489">
        <v>-2.3690383662844163</v>
      </c>
      <c r="G123" s="489">
        <v>-2.2433276600060932</v>
      </c>
      <c r="H123" s="489">
        <v>-2.1466020621213828</v>
      </c>
      <c r="I123" s="489">
        <v>-2.174009678716605</v>
      </c>
      <c r="J123" s="489">
        <v>-2.0538927838998693</v>
      </c>
      <c r="K123" s="489">
        <v>-1.9044581231060691</v>
      </c>
      <c r="L123" s="490">
        <v>-1.8008611131009082</v>
      </c>
      <c r="M123" s="32"/>
      <c r="N123" s="32"/>
      <c r="O123" s="32"/>
    </row>
    <row r="124" spans="2:15">
      <c r="B124" s="485" t="s">
        <v>58</v>
      </c>
      <c r="C124" s="588"/>
      <c r="D124" s="589"/>
      <c r="E124" s="489">
        <v>-2.1861012409352765</v>
      </c>
      <c r="F124" s="489">
        <v>-2.3820447425774849</v>
      </c>
      <c r="G124" s="489">
        <v>-2.2418672366929897</v>
      </c>
      <c r="H124" s="489">
        <v>-2.1147812646907029</v>
      </c>
      <c r="I124" s="489">
        <v>-2.0146177086326591</v>
      </c>
      <c r="J124" s="489">
        <v>-1.9421313262105093</v>
      </c>
      <c r="K124" s="489">
        <v>-1.9248856430948595</v>
      </c>
      <c r="L124" s="490">
        <v>-1.8464451304225615</v>
      </c>
      <c r="M124" s="32"/>
      <c r="N124" s="32"/>
      <c r="O124" s="32"/>
    </row>
    <row r="125" spans="2:15">
      <c r="B125" s="485" t="s">
        <v>45</v>
      </c>
      <c r="C125" s="588"/>
      <c r="D125" s="589"/>
      <c r="E125" s="489">
        <v>-1.8633532543800757</v>
      </c>
      <c r="F125" s="489">
        <v>-1.8182980405067262</v>
      </c>
      <c r="G125" s="489">
        <v>-1.83946756302578</v>
      </c>
      <c r="H125" s="489">
        <v>-1.7415973428180247</v>
      </c>
      <c r="I125" s="489">
        <v>-1.6798002111470465</v>
      </c>
      <c r="J125" s="489">
        <v>-1.5974456358596774</v>
      </c>
      <c r="K125" s="489">
        <v>-1.5016396120831343</v>
      </c>
      <c r="L125" s="490">
        <v>-1.4453638876860204</v>
      </c>
      <c r="M125" s="32"/>
      <c r="N125" s="32"/>
      <c r="O125" s="32"/>
    </row>
    <row r="126" spans="2:15">
      <c r="B126" s="485" t="s">
        <v>46</v>
      </c>
      <c r="C126" s="588"/>
      <c r="D126" s="589"/>
      <c r="E126" s="489">
        <v>-2.1317145269512103</v>
      </c>
      <c r="F126" s="489">
        <v>-2.193973633026753</v>
      </c>
      <c r="G126" s="489">
        <v>-1.9869010217130036</v>
      </c>
      <c r="H126" s="489">
        <v>-1.8037552784318813</v>
      </c>
      <c r="I126" s="489">
        <v>-1.7767942495618843</v>
      </c>
      <c r="J126" s="489">
        <v>-1.7901472583807538</v>
      </c>
      <c r="K126" s="489">
        <v>-1.6444113686346382</v>
      </c>
      <c r="L126" s="490">
        <v>-1.467384504290556</v>
      </c>
      <c r="M126" s="32"/>
      <c r="N126" s="32"/>
      <c r="O126" s="32"/>
    </row>
    <row r="127" spans="2:15">
      <c r="B127" s="485" t="s">
        <v>47</v>
      </c>
      <c r="C127" s="588"/>
      <c r="D127" s="589"/>
      <c r="E127" s="489">
        <v>0.16599721814464838</v>
      </c>
      <c r="F127" s="489">
        <v>0.16631900606776751</v>
      </c>
      <c r="G127" s="489">
        <v>0.16554337895881124</v>
      </c>
      <c r="H127" s="489">
        <v>0.16569741136821181</v>
      </c>
      <c r="I127" s="489">
        <v>0.16622630759870036</v>
      </c>
      <c r="J127" s="489">
        <v>0.16380302414374548</v>
      </c>
      <c r="K127" s="489">
        <v>0.16593344617950709</v>
      </c>
      <c r="L127" s="490">
        <v>0.16036688822048883</v>
      </c>
      <c r="M127" s="32"/>
      <c r="N127" s="32"/>
      <c r="O127" s="32"/>
    </row>
    <row r="128" spans="2:15">
      <c r="B128" s="485" t="s">
        <v>48</v>
      </c>
      <c r="C128" s="588"/>
      <c r="D128" s="589"/>
      <c r="E128" s="489">
        <v>0.3648271976377423</v>
      </c>
      <c r="F128" s="489">
        <v>0.37109083837102003</v>
      </c>
      <c r="G128" s="489">
        <v>0.36071859106606846</v>
      </c>
      <c r="H128" s="489">
        <v>0.35927814835295946</v>
      </c>
      <c r="I128" s="489">
        <v>0.3227419487574148</v>
      </c>
      <c r="J128" s="489">
        <v>0.32139075529498529</v>
      </c>
      <c r="K128" s="489">
        <v>0.32876178406363676</v>
      </c>
      <c r="L128" s="490">
        <v>0.31920430794598709</v>
      </c>
      <c r="M128" s="32"/>
      <c r="N128" s="32"/>
      <c r="O128" s="32"/>
    </row>
    <row r="129" spans="2:15">
      <c r="B129" s="485" t="s">
        <v>246</v>
      </c>
      <c r="C129" s="588"/>
      <c r="D129" s="589"/>
      <c r="E129" s="489">
        <v>7.1281196754416492</v>
      </c>
      <c r="F129" s="489">
        <v>6.9674138399666772</v>
      </c>
      <c r="G129" s="489">
        <v>6.2034025893135132</v>
      </c>
      <c r="H129" s="489">
        <v>6.3085978915797085</v>
      </c>
      <c r="I129" s="489">
        <v>6.2376648400128394</v>
      </c>
      <c r="J129" s="489">
        <v>6.4865819943041139</v>
      </c>
      <c r="K129" s="489">
        <v>6.8152516624832584</v>
      </c>
      <c r="L129" s="490">
        <v>6.6271056201039169</v>
      </c>
      <c r="M129" s="32"/>
      <c r="N129" s="32"/>
      <c r="O129" s="32"/>
    </row>
    <row r="130" spans="2:15">
      <c r="B130" s="485" t="s">
        <v>247</v>
      </c>
      <c r="C130" s="588"/>
      <c r="D130" s="589"/>
      <c r="E130" s="489">
        <v>6.5079014730517413</v>
      </c>
      <c r="F130" s="489">
        <v>6.5166167406950333</v>
      </c>
      <c r="G130" s="489">
        <v>6.3292456496722922</v>
      </c>
      <c r="H130" s="489">
        <v>6.4407397408462082</v>
      </c>
      <c r="I130" s="489">
        <v>6.6367331985058957</v>
      </c>
      <c r="J130" s="489">
        <v>6.7568163761394304</v>
      </c>
      <c r="K130" s="489">
        <v>6.6961234445143969</v>
      </c>
      <c r="L130" s="490">
        <v>6.7647427548792596</v>
      </c>
      <c r="M130" s="32"/>
      <c r="N130" s="32"/>
      <c r="O130" s="32"/>
    </row>
    <row r="131" spans="2:15">
      <c r="B131" s="485" t="s">
        <v>248</v>
      </c>
      <c r="C131" s="588"/>
      <c r="D131" s="589"/>
      <c r="E131" s="489">
        <v>3.6763138465229663</v>
      </c>
      <c r="F131" s="489">
        <v>3.6748350873956013</v>
      </c>
      <c r="G131" s="489">
        <v>3.4998529635433906</v>
      </c>
      <c r="H131" s="489">
        <v>3.724685546648324</v>
      </c>
      <c r="I131" s="489">
        <v>3.4121739487309477</v>
      </c>
      <c r="J131" s="489">
        <v>3.4202241027689042</v>
      </c>
      <c r="K131" s="489">
        <v>3.3053549439575329</v>
      </c>
      <c r="L131" s="490">
        <v>3.3633285641010966</v>
      </c>
      <c r="M131" s="32"/>
      <c r="N131" s="32"/>
      <c r="O131" s="32"/>
    </row>
    <row r="132" spans="2:15">
      <c r="B132" s="485" t="s">
        <v>249</v>
      </c>
      <c r="C132" s="588"/>
      <c r="D132" s="589"/>
      <c r="E132" s="489">
        <v>5.3762701961708466</v>
      </c>
      <c r="F132" s="489">
        <v>5.3775969760840585</v>
      </c>
      <c r="G132" s="489">
        <v>5.2618102801807671</v>
      </c>
      <c r="H132" s="489">
        <v>5.360849180672294</v>
      </c>
      <c r="I132" s="489">
        <v>5.2665238228731912</v>
      </c>
      <c r="J132" s="489">
        <v>5.3271179030285305</v>
      </c>
      <c r="K132" s="489">
        <v>5.3223294006601192</v>
      </c>
      <c r="L132" s="490">
        <v>5.5699880746272257</v>
      </c>
      <c r="M132" s="32"/>
      <c r="N132" s="32"/>
      <c r="O132" s="32"/>
    </row>
    <row r="133" spans="2:15">
      <c r="B133" s="485" t="s">
        <v>53</v>
      </c>
      <c r="C133" s="491">
        <v>1.4371556068940596</v>
      </c>
      <c r="D133" s="489">
        <v>1.3718015630879741</v>
      </c>
      <c r="E133" s="489">
        <v>1.3507660107019517</v>
      </c>
      <c r="F133" s="489">
        <v>1.356812198977974</v>
      </c>
      <c r="G133" s="489">
        <v>1.3598136386487443</v>
      </c>
      <c r="H133" s="489">
        <v>1.3501475065962032</v>
      </c>
      <c r="I133" s="489">
        <v>1.3298433305384654</v>
      </c>
      <c r="J133" s="489">
        <v>1.3174540960763355</v>
      </c>
      <c r="K133" s="589"/>
      <c r="L133" s="590"/>
      <c r="M133" s="32"/>
      <c r="N133" s="32"/>
      <c r="O133" s="32"/>
    </row>
    <row r="134" spans="2:15">
      <c r="B134" s="485" t="s">
        <v>54</v>
      </c>
      <c r="C134" s="491">
        <v>1.2224510767557433</v>
      </c>
      <c r="D134" s="489">
        <v>1.2198157429394254</v>
      </c>
      <c r="E134" s="489">
        <v>1.2942164825881293</v>
      </c>
      <c r="F134" s="489">
        <v>1.2596396269108345</v>
      </c>
      <c r="G134" s="489">
        <v>1.2840112184368913</v>
      </c>
      <c r="H134" s="489">
        <v>1.2678511857965422</v>
      </c>
      <c r="I134" s="489">
        <v>1.2592019055105816</v>
      </c>
      <c r="J134" s="489">
        <v>1.257376658609527</v>
      </c>
      <c r="K134" s="589"/>
      <c r="L134" s="590"/>
      <c r="M134" s="32"/>
      <c r="N134" s="32"/>
      <c r="O134" s="32"/>
    </row>
    <row r="135" spans="2:15">
      <c r="B135" s="485" t="s">
        <v>55</v>
      </c>
      <c r="C135" s="491">
        <v>0.82325002294811445</v>
      </c>
      <c r="D135" s="489">
        <v>0.82663571281128501</v>
      </c>
      <c r="E135" s="489">
        <v>0.79640504595610451</v>
      </c>
      <c r="F135" s="489">
        <v>0.78757021450124798</v>
      </c>
      <c r="G135" s="489">
        <v>0.81133252861207505</v>
      </c>
      <c r="H135" s="489">
        <v>0.81064228783969072</v>
      </c>
      <c r="I135" s="489">
        <v>0.80900368952296353</v>
      </c>
      <c r="J135" s="489">
        <v>0.78043276967968189</v>
      </c>
      <c r="K135" s="589"/>
      <c r="L135" s="590"/>
      <c r="M135" s="32"/>
      <c r="N135" s="32"/>
      <c r="O135" s="32"/>
    </row>
    <row r="136" spans="2:15">
      <c r="B136" s="485" t="s">
        <v>56</v>
      </c>
      <c r="C136" s="491">
        <v>1.0893959849781105</v>
      </c>
      <c r="D136" s="489">
        <v>1.027913194554035</v>
      </c>
      <c r="E136" s="489">
        <v>1.0066987144123654</v>
      </c>
      <c r="F136" s="489">
        <v>1.0192350900597893</v>
      </c>
      <c r="G136" s="489">
        <v>1.0341480780318344</v>
      </c>
      <c r="H136" s="489">
        <v>1.0204240792759967</v>
      </c>
      <c r="I136" s="489">
        <v>1.0137739549704501</v>
      </c>
      <c r="J136" s="489">
        <v>0.9898055017218621</v>
      </c>
      <c r="K136" s="589"/>
      <c r="L136" s="590"/>
      <c r="M136" s="32"/>
      <c r="N136" s="32"/>
      <c r="O136" s="32"/>
    </row>
    <row r="137" spans="2:15">
      <c r="B137" s="485" t="s">
        <v>50</v>
      </c>
      <c r="C137" s="491">
        <v>3.0675250143183739</v>
      </c>
      <c r="D137" s="489">
        <v>3.1629219417602221</v>
      </c>
      <c r="E137" s="489">
        <v>3.2156604222069194</v>
      </c>
      <c r="F137" s="489">
        <v>3.1773534622131239</v>
      </c>
      <c r="G137" s="489">
        <v>2.9925267771957293</v>
      </c>
      <c r="H137" s="489">
        <v>2.9953978987575276</v>
      </c>
      <c r="I137" s="489">
        <v>3.008780645638939</v>
      </c>
      <c r="J137" s="489">
        <v>3.0035530345258876</v>
      </c>
      <c r="K137" s="589"/>
      <c r="L137" s="590"/>
      <c r="M137" s="32"/>
      <c r="N137" s="32"/>
      <c r="O137" s="32"/>
    </row>
    <row r="138" spans="2:15">
      <c r="B138" s="485" t="s">
        <v>52</v>
      </c>
      <c r="C138" s="491">
        <v>2.1240897362733717</v>
      </c>
      <c r="D138" s="489">
        <v>2.0350723340362249</v>
      </c>
      <c r="E138" s="489">
        <v>1.9686998072928457</v>
      </c>
      <c r="F138" s="489">
        <v>2.0858456765056492</v>
      </c>
      <c r="G138" s="489">
        <v>2.1150393198028121</v>
      </c>
      <c r="H138" s="489">
        <v>2.0960407823683633</v>
      </c>
      <c r="I138" s="489">
        <v>1.9709648894580449</v>
      </c>
      <c r="J138" s="489">
        <v>1.9558237270696361</v>
      </c>
      <c r="K138" s="589"/>
      <c r="L138" s="590"/>
      <c r="M138" s="32"/>
      <c r="N138" s="32"/>
      <c r="O138" s="32"/>
    </row>
    <row r="139" spans="2:15">
      <c r="B139" s="485" t="s">
        <v>51</v>
      </c>
      <c r="C139" s="491">
        <v>4.3724011747736116</v>
      </c>
      <c r="D139" s="489">
        <v>4.1057641662653896</v>
      </c>
      <c r="E139" s="489">
        <v>4.0545669929819539</v>
      </c>
      <c r="F139" s="489">
        <v>4.1740927460581894</v>
      </c>
      <c r="G139" s="489">
        <v>4.2397101975440528</v>
      </c>
      <c r="H139" s="489">
        <v>4.2461477210751069</v>
      </c>
      <c r="I139" s="489">
        <v>4.1078523076276792</v>
      </c>
      <c r="J139" s="489">
        <v>4.0575944965475035</v>
      </c>
      <c r="K139" s="589"/>
      <c r="L139" s="590"/>
      <c r="M139" s="32"/>
      <c r="N139" s="32"/>
      <c r="O139" s="32"/>
    </row>
    <row r="140" spans="2:15">
      <c r="B140" s="485" t="s">
        <v>49</v>
      </c>
      <c r="C140" s="491">
        <v>1.3982776671905828</v>
      </c>
      <c r="D140" s="489">
        <v>1.3864649866746799</v>
      </c>
      <c r="E140" s="489">
        <v>1.3673040530931269</v>
      </c>
      <c r="F140" s="489">
        <v>1.3493453776780693</v>
      </c>
      <c r="G140" s="489">
        <v>1.3347777856873293</v>
      </c>
      <c r="H140" s="489">
        <v>1.3354887108693174</v>
      </c>
      <c r="I140" s="489">
        <v>1.3597799661606067</v>
      </c>
      <c r="J140" s="489">
        <v>1.3515240072037848</v>
      </c>
      <c r="K140" s="589"/>
      <c r="L140" s="590"/>
      <c r="M140" s="32"/>
      <c r="N140" s="32"/>
      <c r="O140" s="32"/>
    </row>
    <row r="141" spans="2:15">
      <c r="B141" s="485" t="s">
        <v>113</v>
      </c>
      <c r="C141" s="491">
        <v>-1.1295718210052885</v>
      </c>
      <c r="D141" s="489">
        <v>-1.1444007312827333</v>
      </c>
      <c r="E141" s="489">
        <v>-1.1763817360750841</v>
      </c>
      <c r="F141" s="489">
        <v>-1.5927557463957547</v>
      </c>
      <c r="G141" s="489">
        <v>-1.8565667598967899</v>
      </c>
      <c r="H141" s="489">
        <v>-1.2720416735170972</v>
      </c>
      <c r="I141" s="489">
        <v>-1.1039739947823479</v>
      </c>
      <c r="J141" s="489">
        <v>-1.018311326547777</v>
      </c>
      <c r="K141" s="589"/>
      <c r="L141" s="590"/>
      <c r="M141" s="32"/>
      <c r="N141" s="32"/>
      <c r="O141" s="32"/>
    </row>
    <row r="142" spans="2:15">
      <c r="B142" s="485" t="s">
        <v>114</v>
      </c>
      <c r="C142" s="491">
        <v>-0.43181154987245485</v>
      </c>
      <c r="D142" s="489">
        <v>-0.39947195996305995</v>
      </c>
      <c r="E142" s="489">
        <v>-0.34734317043598018</v>
      </c>
      <c r="F142" s="489">
        <v>-0.3193206524905472</v>
      </c>
      <c r="G142" s="489">
        <v>-0.31265626882301373</v>
      </c>
      <c r="H142" s="489">
        <v>-0.30799379948941219</v>
      </c>
      <c r="I142" s="489">
        <v>-0.32570922921081308</v>
      </c>
      <c r="J142" s="489">
        <v>-0.31552026220892354</v>
      </c>
      <c r="K142" s="589"/>
      <c r="L142" s="590"/>
      <c r="M142" s="32"/>
      <c r="N142" s="32"/>
      <c r="O142" s="32"/>
    </row>
    <row r="143" spans="2:15">
      <c r="B143" s="485" t="s">
        <v>111</v>
      </c>
      <c r="C143" s="491">
        <v>15.168246288518162</v>
      </c>
      <c r="D143" s="489">
        <v>16.275110005972994</v>
      </c>
      <c r="E143" s="489">
        <v>15.614702904478012</v>
      </c>
      <c r="F143" s="489">
        <v>14.911674359737152</v>
      </c>
      <c r="G143" s="489">
        <v>13.033415757853545</v>
      </c>
      <c r="H143" s="489">
        <v>12.556067765830047</v>
      </c>
      <c r="I143" s="489">
        <v>11.285100906339711</v>
      </c>
      <c r="J143" s="489">
        <v>9.8268179419485548</v>
      </c>
      <c r="K143" s="589"/>
      <c r="L143" s="590"/>
      <c r="M143" s="32"/>
      <c r="N143" s="32"/>
      <c r="O143" s="32"/>
    </row>
    <row r="144" spans="2:15">
      <c r="B144" s="485" t="s">
        <v>112</v>
      </c>
      <c r="C144" s="491">
        <v>0.93219394583370063</v>
      </c>
      <c r="D144" s="489">
        <v>0.89969793099769957</v>
      </c>
      <c r="E144" s="489">
        <v>0.87783267686821997</v>
      </c>
      <c r="F144" s="489">
        <v>0.87232109317784756</v>
      </c>
      <c r="G144" s="489">
        <v>0.89875958568159287</v>
      </c>
      <c r="H144" s="489">
        <v>0.82801710222961222</v>
      </c>
      <c r="I144" s="489">
        <v>0.88417658562860901</v>
      </c>
      <c r="J144" s="489">
        <v>0.89982415652833247</v>
      </c>
      <c r="K144" s="589"/>
      <c r="L144" s="590"/>
      <c r="M144" s="32"/>
      <c r="N144" s="32"/>
      <c r="O144" s="32"/>
    </row>
    <row r="145" spans="1:15">
      <c r="B145" s="485" t="s">
        <v>60</v>
      </c>
      <c r="C145" s="491">
        <v>10.952751093909903</v>
      </c>
      <c r="D145" s="489">
        <v>1.3412683602121493</v>
      </c>
      <c r="E145" s="489">
        <v>22.190179414419269</v>
      </c>
      <c r="F145" s="489">
        <v>7.0488483253947072</v>
      </c>
      <c r="G145" s="489">
        <v>6.9020695692988534</v>
      </c>
      <c r="H145" s="489">
        <v>6.9425238085580094</v>
      </c>
      <c r="I145" s="489">
        <v>7.0785069781779111</v>
      </c>
      <c r="J145" s="489">
        <v>5.2688524500291916</v>
      </c>
      <c r="K145" s="589"/>
      <c r="L145" s="590"/>
      <c r="M145" s="32"/>
      <c r="N145" s="32"/>
      <c r="O145" s="32"/>
    </row>
    <row r="146" spans="1:15">
      <c r="B146" s="486" t="s">
        <v>61</v>
      </c>
      <c r="C146" s="492">
        <v>4.7850556060781999</v>
      </c>
      <c r="D146" s="493">
        <v>4.9736597194598335</v>
      </c>
      <c r="E146" s="493">
        <v>5.6988662496343032</v>
      </c>
      <c r="F146" s="493">
        <v>3.7921077312788807</v>
      </c>
      <c r="G146" s="493">
        <v>2.8512563802087829</v>
      </c>
      <c r="H146" s="493">
        <v>2.8799765245720623</v>
      </c>
      <c r="I146" s="493">
        <v>2.9074703511454074</v>
      </c>
      <c r="J146" s="493">
        <v>2.8191074376225309</v>
      </c>
      <c r="K146" s="591"/>
      <c r="L146" s="592"/>
      <c r="M146" s="32"/>
      <c r="N146" s="32"/>
      <c r="O146" s="32"/>
    </row>
    <row r="147" spans="1:15">
      <c r="B147" s="32"/>
      <c r="C147" s="32"/>
      <c r="D147" s="32"/>
      <c r="E147" s="32"/>
      <c r="F147" s="32"/>
      <c r="G147" s="32"/>
      <c r="H147" s="32"/>
      <c r="I147" s="32"/>
      <c r="J147" s="32"/>
      <c r="K147" s="32"/>
      <c r="L147" s="32"/>
      <c r="M147" s="32"/>
      <c r="N147" s="32"/>
      <c r="O147" s="32"/>
    </row>
    <row r="148" spans="1:15">
      <c r="B148" s="423"/>
      <c r="C148" s="385"/>
      <c r="D148" s="385"/>
      <c r="E148" s="385"/>
      <c r="F148" s="385"/>
      <c r="G148" s="385"/>
      <c r="H148" s="385"/>
      <c r="I148" s="385"/>
      <c r="J148" s="385"/>
      <c r="K148" s="32"/>
      <c r="L148" s="32"/>
      <c r="M148" s="32"/>
    </row>
    <row r="149" spans="1:15">
      <c r="B149" s="448" t="str">
        <f>LEFT('RFPR cover'!C6,2)</f>
        <v>ED</v>
      </c>
      <c r="C149" s="446"/>
      <c r="D149" s="446"/>
      <c r="E149" s="446"/>
      <c r="F149" s="446"/>
      <c r="G149" s="446"/>
      <c r="H149" s="446"/>
      <c r="I149" s="446"/>
      <c r="J149" s="446"/>
      <c r="K149" s="446"/>
      <c r="L149" s="447"/>
    </row>
    <row r="150" spans="1:15" ht="14.25" customHeight="1">
      <c r="A150" s="215"/>
      <c r="B150" s="482" t="s">
        <v>407</v>
      </c>
      <c r="C150" s="483"/>
      <c r="D150" s="483"/>
      <c r="E150" s="483"/>
      <c r="F150" s="481"/>
      <c r="G150" s="481"/>
      <c r="H150" s="481"/>
      <c r="I150" s="481"/>
      <c r="J150" s="481"/>
      <c r="K150" s="481"/>
      <c r="L150" s="481"/>
      <c r="M150" s="481"/>
      <c r="N150" s="481"/>
    </row>
    <row r="151" spans="1:15" s="32" customFormat="1" ht="14.25" customHeight="1">
      <c r="A151" s="821"/>
      <c r="B151" s="822"/>
      <c r="C151" s="823"/>
      <c r="D151" s="823"/>
      <c r="E151" s="823"/>
      <c r="F151" s="824"/>
      <c r="G151" s="824"/>
      <c r="H151" s="824"/>
      <c r="I151" s="824"/>
      <c r="J151" s="824"/>
      <c r="K151" s="824"/>
      <c r="L151" s="824"/>
      <c r="M151" s="824"/>
      <c r="N151" s="824"/>
    </row>
    <row r="152" spans="1:15">
      <c r="A152" s="213"/>
      <c r="B152" s="825" t="s">
        <v>413</v>
      </c>
      <c r="C152" s="216"/>
      <c r="D152" s="216"/>
      <c r="E152" s="826" t="b">
        <f>OR((LEFT('RFPR cover'!$C$6,2)=Data!F152),'RFPR cover'!$C$5=Data!F152)</f>
        <v>1</v>
      </c>
      <c r="F152" s="384" t="str">
        <f>B162</f>
        <v>ED</v>
      </c>
      <c r="G152" s="827"/>
    </row>
    <row r="153" spans="1:15">
      <c r="A153" s="213"/>
      <c r="B153" s="842" t="str">
        <f t="shared" ref="B153:B160" si="23">CHOOSE(MATCH(TRUE,$E$152:$E$159,0),B163,B173,B183,E183,B193,E193,B203,E203)&amp;""</f>
        <v>Broad measure of customer service</v>
      </c>
      <c r="C153" s="216"/>
      <c r="D153" s="216"/>
      <c r="E153" s="828" t="b">
        <f>OR((LEFT('RFPR cover'!$C$6,2)=Data!F153),'RFPR cover'!$C$5=Data!F153)</f>
        <v>0</v>
      </c>
      <c r="F153" s="385" t="str">
        <f>B172</f>
        <v>GD</v>
      </c>
      <c r="G153" s="212"/>
    </row>
    <row r="154" spans="1:15" ht="25.5">
      <c r="A154" s="213"/>
      <c r="B154" s="843" t="str">
        <f t="shared" si="23"/>
        <v>Interruptions-related quality of service</v>
      </c>
      <c r="C154" s="216"/>
      <c r="D154" s="216"/>
      <c r="E154" s="828" t="b">
        <f>OR((LEFT('RFPR cover'!$C$6,2)=Data!F154),'RFPR cover'!$C$5=Data!F154)</f>
        <v>0</v>
      </c>
      <c r="F154" s="841" t="str">
        <f>B182</f>
        <v>NGGT (TO)</v>
      </c>
      <c r="G154" s="212"/>
    </row>
    <row r="155" spans="1:15">
      <c r="A155" s="213"/>
      <c r="B155" s="843" t="str">
        <f t="shared" si="23"/>
        <v>Incentive on connections engagement</v>
      </c>
      <c r="C155" s="216"/>
      <c r="D155" s="216"/>
      <c r="E155" s="828" t="b">
        <f>OR((LEFT('RFPR cover'!$C$6,2)=Data!F155),'RFPR cover'!$C$5=Data!F155)</f>
        <v>0</v>
      </c>
      <c r="F155" s="829" t="str">
        <f>E182</f>
        <v>NGGT (SO)</v>
      </c>
      <c r="G155" s="212"/>
    </row>
    <row r="156" spans="1:15">
      <c r="A156" s="213"/>
      <c r="B156" s="843" t="str">
        <f t="shared" si="23"/>
        <v>Time to Connect Incentive</v>
      </c>
      <c r="C156" s="216"/>
      <c r="D156" s="216"/>
      <c r="E156" s="828" t="b">
        <f>OR((LEFT('RFPR cover'!$C$6,2)=Data!F156),'RFPR cover'!$C$5=Data!F156)</f>
        <v>0</v>
      </c>
      <c r="F156" s="829" t="str">
        <f>B192</f>
        <v>NGET (TO)</v>
      </c>
      <c r="G156" s="212"/>
    </row>
    <row r="157" spans="1:15">
      <c r="A157" s="213"/>
      <c r="B157" s="844" t="str">
        <f t="shared" si="23"/>
        <v>Losses discretionary reward scheme</v>
      </c>
      <c r="C157" s="216"/>
      <c r="D157" s="216"/>
      <c r="E157" s="828" t="b">
        <f>OR((LEFT('RFPR cover'!$C$6,2)=Data!F157),'RFPR cover'!$C$5=Data!F157)</f>
        <v>0</v>
      </c>
      <c r="F157" s="829" t="str">
        <f>E192</f>
        <v>NGET (SO)</v>
      </c>
      <c r="G157" s="212"/>
    </row>
    <row r="158" spans="1:15">
      <c r="A158" s="213"/>
      <c r="B158" s="844" t="str">
        <f t="shared" si="23"/>
        <v/>
      </c>
      <c r="C158" s="216"/>
      <c r="D158" s="216"/>
      <c r="E158" s="828" t="b">
        <f>OR((LEFT('RFPR cover'!$C$6,2)=Data!F158),'RFPR cover'!$C$5=Data!F158)</f>
        <v>0</v>
      </c>
      <c r="F158" s="829" t="str">
        <f>B202</f>
        <v>SPT</v>
      </c>
      <c r="G158" s="212"/>
    </row>
    <row r="159" spans="1:15">
      <c r="A159" s="213"/>
      <c r="B159" s="844" t="str">
        <f t="shared" si="23"/>
        <v/>
      </c>
      <c r="C159" s="216"/>
      <c r="D159" s="216"/>
      <c r="E159" s="830" t="b">
        <f>OR((LEFT('RFPR cover'!$C$6,2)=Data!F159),'RFPR cover'!$C$5=Data!F159)</f>
        <v>0</v>
      </c>
      <c r="F159" s="831" t="str">
        <f>E202</f>
        <v>SHET</v>
      </c>
      <c r="G159" s="312"/>
    </row>
    <row r="160" spans="1:15">
      <c r="A160" s="213"/>
      <c r="B160" s="216" t="str">
        <f t="shared" si="23"/>
        <v/>
      </c>
      <c r="C160" s="216"/>
      <c r="D160" s="216"/>
      <c r="E160" s="60"/>
      <c r="F160" s="829"/>
      <c r="G160" s="43"/>
    </row>
    <row r="161" spans="1:7">
      <c r="A161" s="213"/>
      <c r="B161" s="216"/>
      <c r="C161" s="216"/>
      <c r="D161" s="216"/>
      <c r="E161" s="60"/>
      <c r="F161" s="829"/>
      <c r="G161" s="43"/>
    </row>
    <row r="162" spans="1:7" ht="12" customHeight="1">
      <c r="A162" s="213"/>
      <c r="B162" s="956" t="s">
        <v>172</v>
      </c>
      <c r="C162" s="952"/>
      <c r="D162" s="216"/>
      <c r="E162" s="216"/>
    </row>
    <row r="163" spans="1:7">
      <c r="A163" s="213"/>
      <c r="B163" s="957" t="s">
        <v>408</v>
      </c>
      <c r="C163" s="958"/>
      <c r="D163" s="216"/>
      <c r="E163" s="216"/>
    </row>
    <row r="164" spans="1:7">
      <c r="A164" s="213"/>
      <c r="B164" s="957" t="s">
        <v>409</v>
      </c>
      <c r="C164" s="958"/>
      <c r="D164" s="216"/>
      <c r="E164" s="216"/>
    </row>
    <row r="165" spans="1:7">
      <c r="A165" s="213"/>
      <c r="B165" s="959" t="s">
        <v>410</v>
      </c>
      <c r="C165" s="960"/>
      <c r="D165" s="216"/>
      <c r="E165" s="216"/>
    </row>
    <row r="166" spans="1:7">
      <c r="A166" s="213"/>
      <c r="B166" s="959" t="s">
        <v>411</v>
      </c>
      <c r="C166" s="960"/>
      <c r="D166" s="216"/>
      <c r="E166" s="216"/>
    </row>
    <row r="167" spans="1:7">
      <c r="A167" s="213"/>
      <c r="B167" s="959" t="s">
        <v>412</v>
      </c>
      <c r="C167" s="960"/>
      <c r="D167" s="216"/>
      <c r="E167" s="216"/>
    </row>
    <row r="168" spans="1:7">
      <c r="A168" s="213"/>
      <c r="B168" s="959"/>
      <c r="C168" s="960"/>
      <c r="D168" s="216"/>
      <c r="E168" s="216"/>
    </row>
    <row r="169" spans="1:7">
      <c r="A169" s="213"/>
      <c r="B169" s="959"/>
      <c r="C169" s="960"/>
      <c r="D169" s="216"/>
      <c r="E169" s="216"/>
    </row>
    <row r="170" spans="1:7">
      <c r="A170" s="213"/>
      <c r="B170" s="216"/>
      <c r="C170" s="216"/>
      <c r="D170" s="216"/>
      <c r="E170" s="216"/>
    </row>
    <row r="171" spans="1:7">
      <c r="A171" s="213"/>
      <c r="B171" s="216"/>
      <c r="C171" s="216"/>
      <c r="D171" s="216"/>
      <c r="E171" s="216"/>
    </row>
    <row r="172" spans="1:7">
      <c r="A172" s="213"/>
      <c r="B172" s="956" t="s">
        <v>173</v>
      </c>
      <c r="C172" s="952"/>
      <c r="D172" s="216"/>
      <c r="E172" s="216"/>
    </row>
    <row r="173" spans="1:7" ht="12.75" customHeight="1">
      <c r="A173" s="213"/>
      <c r="B173" s="953" t="s">
        <v>223</v>
      </c>
      <c r="C173" s="955"/>
      <c r="D173" s="216"/>
      <c r="E173" s="216"/>
    </row>
    <row r="174" spans="1:7" ht="12.75" customHeight="1">
      <c r="A174" s="213"/>
      <c r="B174" s="947" t="s">
        <v>224</v>
      </c>
      <c r="C174" s="949"/>
      <c r="D174" s="216"/>
      <c r="E174" s="216"/>
    </row>
    <row r="175" spans="1:7" ht="12.75" customHeight="1">
      <c r="A175" s="213"/>
      <c r="B175" s="947" t="s">
        <v>225</v>
      </c>
      <c r="C175" s="949"/>
      <c r="D175" s="216"/>
      <c r="E175" s="216"/>
    </row>
    <row r="176" spans="1:7" ht="12.75" customHeight="1">
      <c r="A176" s="213"/>
      <c r="B176" s="947" t="s">
        <v>226</v>
      </c>
      <c r="C176" s="949"/>
      <c r="D176" s="216"/>
      <c r="E176" s="216"/>
    </row>
    <row r="177" spans="1:9" ht="12.75" customHeight="1">
      <c r="A177" s="213"/>
      <c r="B177" s="944" t="s">
        <v>308</v>
      </c>
      <c r="C177" s="946"/>
      <c r="D177" s="216"/>
      <c r="E177" s="216"/>
    </row>
    <row r="178" spans="1:9" ht="12.75" customHeight="1">
      <c r="A178" s="213"/>
      <c r="B178" s="944"/>
      <c r="C178" s="946"/>
      <c r="D178" s="216"/>
      <c r="E178" s="216"/>
    </row>
    <row r="179" spans="1:9" ht="12.75" customHeight="1">
      <c r="A179" s="213"/>
      <c r="B179" s="944"/>
      <c r="C179" s="946"/>
      <c r="D179" s="216"/>
      <c r="E179" s="216"/>
    </row>
    <row r="180" spans="1:9">
      <c r="A180" s="213"/>
      <c r="B180" s="216"/>
      <c r="C180" s="216"/>
      <c r="D180" s="216"/>
      <c r="E180" s="216"/>
    </row>
    <row r="181" spans="1:9">
      <c r="A181" s="213"/>
      <c r="B181" s="216"/>
      <c r="C181" s="216"/>
      <c r="D181" s="216"/>
      <c r="E181" s="216"/>
    </row>
    <row r="182" spans="1:9">
      <c r="A182" s="213"/>
      <c r="B182" s="950" t="str">
        <f>B95</f>
        <v>NGGT (TO)</v>
      </c>
      <c r="C182" s="984"/>
      <c r="D182" s="216"/>
      <c r="E182" s="950" t="str">
        <f>B96</f>
        <v>NGGT (SO)</v>
      </c>
      <c r="F182" s="951"/>
      <c r="G182" s="951"/>
      <c r="H182" s="951"/>
      <c r="I182" s="952"/>
    </row>
    <row r="183" spans="1:9">
      <c r="A183" s="213"/>
      <c r="B183" s="953" t="s">
        <v>219</v>
      </c>
      <c r="C183" s="955"/>
      <c r="D183" s="216"/>
      <c r="E183" s="947"/>
      <c r="F183" s="948"/>
      <c r="G183" s="948"/>
      <c r="H183" s="948"/>
      <c r="I183" s="949"/>
    </row>
    <row r="184" spans="1:9">
      <c r="A184" s="213"/>
      <c r="B184" s="947" t="s">
        <v>227</v>
      </c>
      <c r="C184" s="949"/>
      <c r="D184" s="216"/>
      <c r="E184" s="947"/>
      <c r="F184" s="948"/>
      <c r="G184" s="948"/>
      <c r="H184" s="948"/>
      <c r="I184" s="949"/>
    </row>
    <row r="185" spans="1:9">
      <c r="A185" s="213"/>
      <c r="B185" s="947"/>
      <c r="C185" s="949"/>
      <c r="D185" s="216"/>
      <c r="E185" s="947"/>
      <c r="F185" s="948"/>
      <c r="G185" s="948"/>
      <c r="H185" s="948"/>
      <c r="I185" s="949"/>
    </row>
    <row r="186" spans="1:9">
      <c r="A186" s="213"/>
      <c r="B186" s="947"/>
      <c r="C186" s="949"/>
      <c r="D186" s="216"/>
      <c r="E186" s="947"/>
      <c r="F186" s="948"/>
      <c r="G186" s="948"/>
      <c r="H186" s="948"/>
      <c r="I186" s="949"/>
    </row>
    <row r="187" spans="1:9">
      <c r="A187" s="213"/>
      <c r="B187" s="944"/>
      <c r="C187" s="946"/>
      <c r="D187" s="216"/>
      <c r="E187" s="944"/>
      <c r="F187" s="945"/>
      <c r="G187" s="945"/>
      <c r="H187" s="945"/>
      <c r="I187" s="946"/>
    </row>
    <row r="188" spans="1:9">
      <c r="A188" s="213"/>
      <c r="B188" s="944"/>
      <c r="C188" s="946"/>
      <c r="D188" s="216"/>
      <c r="E188" s="944"/>
      <c r="F188" s="945"/>
      <c r="G188" s="945"/>
      <c r="H188" s="945"/>
      <c r="I188" s="946"/>
    </row>
    <row r="189" spans="1:9">
      <c r="A189" s="213"/>
      <c r="B189" s="944"/>
      <c r="C189" s="946"/>
      <c r="D189" s="216"/>
      <c r="E189" s="944"/>
      <c r="F189" s="945"/>
      <c r="G189" s="945"/>
      <c r="H189" s="945"/>
      <c r="I189" s="946"/>
    </row>
    <row r="190" spans="1:9">
      <c r="A190" s="213"/>
      <c r="B190" s="216"/>
      <c r="C190" s="216"/>
      <c r="D190" s="216"/>
      <c r="E190" s="216"/>
    </row>
    <row r="191" spans="1:9">
      <c r="A191" s="213"/>
      <c r="B191" s="216"/>
      <c r="C191" s="216"/>
      <c r="D191" s="216"/>
      <c r="E191" s="216"/>
    </row>
    <row r="192" spans="1:9">
      <c r="A192" s="213"/>
      <c r="B192" s="950" t="str">
        <f>B97</f>
        <v>NGET (TO)</v>
      </c>
      <c r="C192" s="984"/>
      <c r="D192" s="216"/>
      <c r="E192" s="950" t="str">
        <f>B98</f>
        <v>NGET (SO)</v>
      </c>
      <c r="F192" s="951"/>
      <c r="G192" s="951"/>
      <c r="H192" s="951"/>
      <c r="I192" s="952"/>
    </row>
    <row r="193" spans="1:9" ht="12.75" customHeight="1">
      <c r="A193" s="213"/>
      <c r="B193" s="953" t="s">
        <v>218</v>
      </c>
      <c r="C193" s="955"/>
      <c r="D193" s="216"/>
      <c r="E193" s="947"/>
      <c r="F193" s="948"/>
      <c r="G193" s="948"/>
      <c r="H193" s="948"/>
      <c r="I193" s="949"/>
    </row>
    <row r="194" spans="1:9" ht="12.75" customHeight="1">
      <c r="A194" s="213"/>
      <c r="B194" s="947" t="s">
        <v>219</v>
      </c>
      <c r="C194" s="949"/>
      <c r="D194" s="216"/>
      <c r="E194" s="947"/>
      <c r="F194" s="948"/>
      <c r="G194" s="948"/>
      <c r="H194" s="948"/>
      <c r="I194" s="949"/>
    </row>
    <row r="195" spans="1:9" ht="12.75" customHeight="1">
      <c r="A195" s="213"/>
      <c r="B195" s="947" t="s">
        <v>220</v>
      </c>
      <c r="C195" s="949"/>
      <c r="D195" s="216"/>
      <c r="E195" s="947"/>
      <c r="F195" s="948"/>
      <c r="G195" s="948"/>
      <c r="H195" s="948"/>
      <c r="I195" s="949"/>
    </row>
    <row r="196" spans="1:9" ht="12.75" customHeight="1">
      <c r="A196" s="213"/>
      <c r="B196" s="947" t="s">
        <v>221</v>
      </c>
      <c r="C196" s="949"/>
      <c r="D196" s="216"/>
      <c r="E196" s="947"/>
      <c r="F196" s="948"/>
      <c r="G196" s="948"/>
      <c r="H196" s="948"/>
      <c r="I196" s="949"/>
    </row>
    <row r="197" spans="1:9" ht="12.75" customHeight="1">
      <c r="A197" s="213"/>
      <c r="B197" s="944"/>
      <c r="C197" s="946"/>
      <c r="D197" s="216"/>
      <c r="E197" s="944"/>
      <c r="F197" s="945"/>
      <c r="G197" s="945"/>
      <c r="H197" s="945"/>
      <c r="I197" s="946"/>
    </row>
    <row r="198" spans="1:9" ht="12.75" customHeight="1">
      <c r="A198" s="213"/>
      <c r="B198" s="944"/>
      <c r="C198" s="946"/>
      <c r="D198" s="216"/>
      <c r="E198" s="944"/>
      <c r="F198" s="945"/>
      <c r="G198" s="945"/>
      <c r="H198" s="945"/>
      <c r="I198" s="946"/>
    </row>
    <row r="199" spans="1:9" ht="12.75" customHeight="1">
      <c r="A199" s="213"/>
      <c r="B199" s="944"/>
      <c r="C199" s="946"/>
      <c r="D199" s="216"/>
      <c r="E199" s="944"/>
      <c r="F199" s="945"/>
      <c r="G199" s="945"/>
      <c r="H199" s="945"/>
      <c r="I199" s="946"/>
    </row>
    <row r="200" spans="1:9" s="32" customFormat="1" ht="12.75" customHeight="1">
      <c r="A200" s="818"/>
      <c r="B200" s="818"/>
      <c r="C200" s="818"/>
      <c r="D200" s="819"/>
      <c r="E200" s="820"/>
      <c r="F200" s="820"/>
      <c r="G200" s="820"/>
      <c r="H200" s="820"/>
      <c r="I200" s="820"/>
    </row>
    <row r="201" spans="1:9" s="32" customFormat="1" ht="12.75" customHeight="1">
      <c r="A201" s="818"/>
      <c r="B201" s="818"/>
      <c r="C201" s="818"/>
      <c r="D201" s="819"/>
      <c r="E201" s="820"/>
      <c r="F201" s="820"/>
      <c r="G201" s="820"/>
      <c r="H201" s="820"/>
      <c r="I201" s="820"/>
    </row>
    <row r="202" spans="1:9">
      <c r="A202" s="213"/>
      <c r="B202" s="950" t="str">
        <f>B145</f>
        <v>SPT</v>
      </c>
      <c r="C202" s="984"/>
      <c r="D202" s="216"/>
      <c r="E202" s="950" t="str">
        <f>B100</f>
        <v>SHET</v>
      </c>
      <c r="F202" s="951"/>
      <c r="G202" s="951"/>
      <c r="H202" s="951"/>
      <c r="I202" s="952"/>
    </row>
    <row r="203" spans="1:9" ht="12.75" customHeight="1">
      <c r="A203" s="213"/>
      <c r="B203" s="953" t="s">
        <v>218</v>
      </c>
      <c r="C203" s="955"/>
      <c r="D203" s="216"/>
      <c r="E203" s="953" t="s">
        <v>218</v>
      </c>
      <c r="F203" s="954"/>
      <c r="G203" s="954"/>
      <c r="H203" s="954"/>
      <c r="I203" s="955"/>
    </row>
    <row r="204" spans="1:9" ht="12.75" customHeight="1">
      <c r="A204" s="213"/>
      <c r="B204" s="947" t="s">
        <v>219</v>
      </c>
      <c r="C204" s="949"/>
      <c r="D204" s="216"/>
      <c r="E204" s="947" t="s">
        <v>219</v>
      </c>
      <c r="F204" s="948"/>
      <c r="G204" s="948"/>
      <c r="H204" s="948"/>
      <c r="I204" s="949"/>
    </row>
    <row r="205" spans="1:9" ht="12.75" customHeight="1">
      <c r="A205" s="213"/>
      <c r="B205" s="947" t="s">
        <v>220</v>
      </c>
      <c r="C205" s="949"/>
      <c r="D205" s="216"/>
      <c r="E205" s="947" t="s">
        <v>220</v>
      </c>
      <c r="F205" s="948"/>
      <c r="G205" s="948"/>
      <c r="H205" s="948"/>
      <c r="I205" s="949"/>
    </row>
    <row r="206" spans="1:9" ht="12.75" customHeight="1">
      <c r="A206" s="213"/>
      <c r="B206" s="947" t="s">
        <v>221</v>
      </c>
      <c r="C206" s="949"/>
      <c r="D206" s="216"/>
      <c r="E206" s="947" t="s">
        <v>221</v>
      </c>
      <c r="F206" s="948"/>
      <c r="G206" s="948"/>
      <c r="H206" s="948"/>
      <c r="I206" s="949"/>
    </row>
    <row r="207" spans="1:9" ht="12.75" customHeight="1">
      <c r="A207" s="213"/>
      <c r="B207" s="944" t="s">
        <v>222</v>
      </c>
      <c r="C207" s="946"/>
      <c r="D207" s="216"/>
      <c r="E207" s="944" t="s">
        <v>222</v>
      </c>
      <c r="F207" s="945"/>
      <c r="G207" s="945"/>
      <c r="H207" s="945"/>
      <c r="I207" s="946"/>
    </row>
    <row r="208" spans="1:9" ht="12.75" customHeight="1">
      <c r="A208" s="213"/>
      <c r="B208" s="944"/>
      <c r="C208" s="946"/>
      <c r="D208" s="216"/>
      <c r="E208" s="944"/>
      <c r="F208" s="945"/>
      <c r="G208" s="945"/>
      <c r="H208" s="945"/>
      <c r="I208" s="946"/>
    </row>
    <row r="209" spans="1:14" ht="12.75" customHeight="1">
      <c r="A209" s="213"/>
      <c r="B209" s="944"/>
      <c r="C209" s="946"/>
      <c r="D209" s="216"/>
      <c r="E209" s="944"/>
      <c r="F209" s="945"/>
      <c r="G209" s="945"/>
      <c r="H209" s="945"/>
      <c r="I209" s="946"/>
    </row>
    <row r="210" spans="1:14">
      <c r="A210" s="213"/>
      <c r="D210" s="216"/>
      <c r="E210" s="216"/>
    </row>
    <row r="211" spans="1:14">
      <c r="A211" s="213"/>
      <c r="D211" s="216"/>
      <c r="E211" s="216"/>
    </row>
    <row r="212" spans="1:14" ht="12.75" customHeight="1">
      <c r="A212" s="213"/>
      <c r="B212" s="983" t="s">
        <v>240</v>
      </c>
      <c r="C212" s="983"/>
      <c r="D212" s="983"/>
      <c r="E212" s="300"/>
      <c r="F212" s="227"/>
      <c r="G212" s="227"/>
      <c r="H212" s="227"/>
      <c r="I212" s="227"/>
      <c r="J212" s="227"/>
      <c r="K212" s="227"/>
      <c r="L212" s="227"/>
      <c r="M212" s="227"/>
      <c r="N212" s="227"/>
    </row>
    <row r="213" spans="1:14">
      <c r="A213" s="213"/>
      <c r="B213" s="216"/>
      <c r="C213" s="216"/>
      <c r="D213" s="216"/>
      <c r="E213" s="216"/>
    </row>
    <row r="214" spans="1:14" ht="25.5">
      <c r="A214" s="213"/>
      <c r="B214" s="218" t="s">
        <v>129</v>
      </c>
      <c r="C214" s="217" t="s">
        <v>208</v>
      </c>
      <c r="D214" s="216"/>
      <c r="E214" s="216"/>
    </row>
    <row r="215" spans="1:14" ht="25.5">
      <c r="A215" s="213"/>
      <c r="B215" s="219" t="s">
        <v>130</v>
      </c>
      <c r="C215" s="305" t="s">
        <v>209</v>
      </c>
      <c r="D215" s="216"/>
      <c r="E215" s="216"/>
    </row>
    <row r="216" spans="1:14">
      <c r="B216" s="324"/>
      <c r="C216" s="43"/>
      <c r="D216" s="43"/>
      <c r="E216" s="43"/>
      <c r="F216" s="43"/>
      <c r="G216" s="43"/>
      <c r="H216" s="43"/>
      <c r="I216" s="43"/>
      <c r="J216" s="43"/>
    </row>
    <row r="217" spans="1:14">
      <c r="B217" s="214"/>
      <c r="I217" s="68"/>
    </row>
    <row r="218" spans="1:14">
      <c r="B218" s="834" t="s">
        <v>415</v>
      </c>
      <c r="I218" s="68"/>
    </row>
    <row r="219" spans="1:14">
      <c r="B219" s="836" t="s">
        <v>289</v>
      </c>
    </row>
    <row r="220" spans="1:14">
      <c r="B220" s="837" t="s">
        <v>288</v>
      </c>
    </row>
    <row r="221" spans="1:14">
      <c r="B221" s="840" t="s">
        <v>287</v>
      </c>
    </row>
    <row r="222" spans="1:14">
      <c r="B222" s="838"/>
    </row>
    <row r="223" spans="1:14">
      <c r="B223" s="223"/>
    </row>
    <row r="224" spans="1:14">
      <c r="B224" s="835" t="s">
        <v>285</v>
      </c>
    </row>
    <row r="225" spans="2:2">
      <c r="B225" s="839" t="s">
        <v>416</v>
      </c>
    </row>
    <row r="226" spans="2:2">
      <c r="B226" s="837" t="s">
        <v>417</v>
      </c>
    </row>
    <row r="227" spans="2:2">
      <c r="B227" s="837" t="s">
        <v>295</v>
      </c>
    </row>
    <row r="228" spans="2:2">
      <c r="B228" s="837" t="s">
        <v>418</v>
      </c>
    </row>
    <row r="229" spans="2:2">
      <c r="B229" s="837" t="s">
        <v>419</v>
      </c>
    </row>
    <row r="230" spans="2:2">
      <c r="B230" s="837" t="s">
        <v>543</v>
      </c>
    </row>
    <row r="231" spans="2:2">
      <c r="B231" s="837" t="s">
        <v>420</v>
      </c>
    </row>
    <row r="232" spans="2:2">
      <c r="B232" s="837" t="s">
        <v>537</v>
      </c>
    </row>
    <row r="233" spans="2:2">
      <c r="B233" s="838" t="s">
        <v>538</v>
      </c>
    </row>
    <row r="234" spans="2:2">
      <c r="B234" s="223"/>
    </row>
    <row r="235" spans="2:2">
      <c r="B235" s="835" t="s">
        <v>294</v>
      </c>
    </row>
    <row r="236" spans="2:2">
      <c r="B236" s="839" t="s">
        <v>421</v>
      </c>
    </row>
    <row r="237" spans="2:2">
      <c r="B237" s="837" t="s">
        <v>422</v>
      </c>
    </row>
    <row r="238" spans="2:2">
      <c r="B238" s="837" t="s">
        <v>423</v>
      </c>
    </row>
    <row r="239" spans="2:2">
      <c r="B239" s="837" t="s">
        <v>424</v>
      </c>
    </row>
    <row r="240" spans="2:2">
      <c r="B240" s="837" t="s">
        <v>425</v>
      </c>
    </row>
    <row r="241" spans="2:2">
      <c r="B241" s="838"/>
    </row>
    <row r="242" spans="2:2">
      <c r="B242" s="223"/>
    </row>
    <row r="243" spans="2:2">
      <c r="B243" s="835" t="s">
        <v>426</v>
      </c>
    </row>
    <row r="244" spans="2:2">
      <c r="B244" s="839" t="s">
        <v>427</v>
      </c>
    </row>
    <row r="245" spans="2:2">
      <c r="B245" s="837" t="s">
        <v>428</v>
      </c>
    </row>
    <row r="246" spans="2:2">
      <c r="B246" s="838"/>
    </row>
    <row r="247" spans="2:2">
      <c r="B247" s="223"/>
    </row>
    <row r="248" spans="2:2">
      <c r="B248" s="835" t="s">
        <v>429</v>
      </c>
    </row>
    <row r="249" spans="2:2">
      <c r="B249" s="839" t="s">
        <v>470</v>
      </c>
    </row>
    <row r="250" spans="2:2">
      <c r="B250" s="837" t="s">
        <v>469</v>
      </c>
    </row>
    <row r="251" spans="2:2">
      <c r="B251" s="838" t="s">
        <v>270</v>
      </c>
    </row>
    <row r="252" spans="2:2">
      <c r="B252" s="223"/>
    </row>
    <row r="253" spans="2:2">
      <c r="B253" s="835" t="s">
        <v>286</v>
      </c>
    </row>
    <row r="254" spans="2:2">
      <c r="B254" s="839" t="s">
        <v>430</v>
      </c>
    </row>
    <row r="255" spans="2:2">
      <c r="B255" s="837" t="s">
        <v>474</v>
      </c>
    </row>
    <row r="256" spans="2:2">
      <c r="B256" s="837"/>
    </row>
    <row r="257" spans="2:2">
      <c r="B257" s="838"/>
    </row>
    <row r="258" spans="2:2">
      <c r="B258" s="223"/>
    </row>
    <row r="259" spans="2:2">
      <c r="B259" s="835" t="s">
        <v>290</v>
      </c>
    </row>
    <row r="260" spans="2:2">
      <c r="B260" s="839" t="s">
        <v>291</v>
      </c>
    </row>
    <row r="261" spans="2:2">
      <c r="B261" s="837" t="s">
        <v>296</v>
      </c>
    </row>
    <row r="262" spans="2:2">
      <c r="B262" s="837"/>
    </row>
    <row r="263" spans="2:2">
      <c r="B263" s="838"/>
    </row>
    <row r="264" spans="2:2">
      <c r="B264" s="223"/>
    </row>
    <row r="265" spans="2:2">
      <c r="B265" s="835" t="s">
        <v>431</v>
      </c>
    </row>
    <row r="266" spans="2:2">
      <c r="B266" s="839" t="s">
        <v>289</v>
      </c>
    </row>
    <row r="267" spans="2:2">
      <c r="B267" s="837" t="s">
        <v>288</v>
      </c>
    </row>
    <row r="268" spans="2:2">
      <c r="B268" s="838"/>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77" priority="20">
      <formula>AND(#REF!="Actuals",#REF!="Forecast")</formula>
    </cfRule>
  </conditionalFormatting>
  <conditionalFormatting sqref="C47">
    <cfRule type="expression" dxfId="76" priority="18">
      <formula>AND(#REF!="Actuals",#REF!="Forecast")</formula>
    </cfRule>
  </conditionalFormatting>
  <conditionalFormatting sqref="C50:J50">
    <cfRule type="expression" dxfId="75" priority="17">
      <formula>AND(#REF!="Actuals",#REF!="Forecast")</formula>
    </cfRule>
  </conditionalFormatting>
  <conditionalFormatting sqref="B14:D30">
    <cfRule type="cellIs" dxfId="74" priority="14" operator="equal">
      <formula>"Forecast"</formula>
    </cfRule>
  </conditionalFormatting>
  <conditionalFormatting sqref="B23:C30 E24:F27">
    <cfRule type="expression" dxfId="73" priority="111">
      <formula>$D13="Forecast"</formula>
    </cfRule>
  </conditionalFormatting>
  <conditionalFormatting sqref="K71">
    <cfRule type="expression" dxfId="72" priority="5">
      <formula>AND(#REF!="Actuals",#REF!="Forecast")</formula>
    </cfRule>
  </conditionalFormatting>
  <conditionalFormatting sqref="K72:T72">
    <cfRule type="expression" dxfId="71" priority="4">
      <formula>AND(#REF!="Actuals",#REF!="Forecast")</formula>
    </cfRule>
  </conditionalFormatting>
  <conditionalFormatting sqref="C62:L62">
    <cfRule type="expression" dxfId="70" priority="3">
      <formula>AND(#REF!="Actuals",#REF!="Forecast")</formula>
    </cfRule>
  </conditionalFormatting>
  <conditionalFormatting sqref="C118:L118">
    <cfRule type="expression" dxfId="69" priority="1">
      <formula>AND(#REF!="Actuals",#REF!="Forecast")</formula>
    </cfRule>
  </conditionalFormatting>
  <hyperlinks>
    <hyperlink ref="K39" r:id="rId1" display="https://assets.publishing.service.gov.uk/government/uploads/system/uploads/attachment_data/file/801759/PU797_Forecast_for_the_UK_Economy_May_2019_covers.pdf"/>
  </hyperlinks>
  <pageMargins left="0.7" right="0.7" top="0.75" bottom="0.75" header="0.3" footer="0.3"/>
  <pageSetup paperSize="9" scale="37" orientation="portrait" r:id="rId2"/>
  <rowBreaks count="2" manualBreakCount="2">
    <brk id="116" max="16383" man="1"/>
    <brk id="147" max="16383" man="1"/>
  </rowBreaks>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80" zoomScaleNormal="80" zoomScaleSheetLayoutView="80" workbookViewId="0">
      <pane ySplit="3" topLeftCell="A4" activePane="bottomLeft" state="frozen"/>
      <selection activeCell="B129" sqref="A1:XFD1048576"/>
      <selection pane="bottomLeft" activeCell="A3" sqref="A3"/>
    </sheetView>
  </sheetViews>
  <sheetFormatPr defaultRowHeight="12.75"/>
  <cols>
    <col min="1" max="1" width="8.375" customWidth="1"/>
    <col min="2" max="2" width="23.75" customWidth="1"/>
    <col min="3" max="3" width="25.75" customWidth="1"/>
    <col min="4" max="4" width="9.75" customWidth="1"/>
  </cols>
  <sheetData>
    <row r="1" spans="1:14" s="32" customFormat="1" ht="20.25">
      <c r="A1" s="30" t="s">
        <v>83</v>
      </c>
      <c r="B1" s="30"/>
      <c r="C1" s="30"/>
      <c r="D1" s="30"/>
      <c r="E1" s="30"/>
      <c r="F1" s="30"/>
      <c r="G1" s="30"/>
      <c r="H1" s="30"/>
      <c r="I1" s="33" t="s">
        <v>84</v>
      </c>
      <c r="J1" s="34"/>
      <c r="K1" s="34"/>
      <c r="L1" s="34"/>
      <c r="M1" s="34"/>
    </row>
    <row r="2" spans="1:14" s="32" customFormat="1" ht="20.25">
      <c r="A2" s="30" t="str">
        <f>'RFPR cover'!C5</f>
        <v>WPD-SWEST</v>
      </c>
      <c r="B2" s="30"/>
      <c r="C2" s="30"/>
      <c r="D2" s="30"/>
      <c r="E2" s="30"/>
      <c r="F2" s="30"/>
      <c r="G2" s="30"/>
      <c r="H2" s="30"/>
      <c r="I2" s="34"/>
      <c r="J2" s="34"/>
      <c r="K2" s="34"/>
      <c r="L2" s="34"/>
      <c r="M2" s="34"/>
      <c r="N2" s="385"/>
    </row>
    <row r="3" spans="1:14" s="32" customFormat="1" ht="20.25">
      <c r="A3" s="30">
        <f>'RFPR cover'!C7</f>
        <v>2019</v>
      </c>
      <c r="B3" s="30"/>
      <c r="C3" s="30"/>
      <c r="D3" s="30"/>
      <c r="E3" s="30"/>
      <c r="F3" s="30"/>
      <c r="G3" s="30"/>
      <c r="H3" s="30"/>
      <c r="I3" s="34"/>
      <c r="J3" s="34"/>
      <c r="K3" s="34"/>
      <c r="L3" s="34"/>
      <c r="M3" s="34"/>
      <c r="N3" s="385"/>
    </row>
    <row r="4" spans="1:14">
      <c r="A4" s="24"/>
      <c r="B4" s="24"/>
      <c r="C4" s="24"/>
      <c r="D4" s="24"/>
      <c r="E4" s="24"/>
      <c r="F4" s="24"/>
      <c r="G4" s="24"/>
      <c r="H4" s="24"/>
      <c r="I4" s="573"/>
      <c r="J4" s="573"/>
      <c r="K4" s="573"/>
      <c r="L4" s="573"/>
      <c r="M4" s="573"/>
      <c r="N4" s="43"/>
    </row>
    <row r="5" spans="1:14">
      <c r="A5" s="24"/>
      <c r="B5" s="24"/>
      <c r="C5" s="24"/>
      <c r="D5" s="24"/>
      <c r="E5" s="24"/>
      <c r="F5" s="24"/>
      <c r="G5" s="24"/>
      <c r="H5" s="24"/>
      <c r="I5" s="573"/>
      <c r="J5" s="573"/>
      <c r="K5" s="573"/>
      <c r="L5" s="573"/>
      <c r="M5" s="573"/>
      <c r="N5" s="43"/>
    </row>
    <row r="6" spans="1:14">
      <c r="A6" s="24"/>
      <c r="B6" s="25" t="s">
        <v>85</v>
      </c>
      <c r="C6" s="24"/>
      <c r="D6" s="24"/>
      <c r="E6" s="24"/>
      <c r="F6" s="24"/>
      <c r="G6" s="24"/>
      <c r="H6" s="24"/>
      <c r="I6" s="573"/>
      <c r="J6" s="573"/>
      <c r="K6" s="573"/>
      <c r="L6" s="573"/>
      <c r="M6" s="573"/>
      <c r="N6" s="43"/>
    </row>
    <row r="7" spans="1:14">
      <c r="A7" s="24"/>
      <c r="B7" s="24"/>
      <c r="C7" s="24"/>
      <c r="D7" s="24"/>
      <c r="E7" s="24"/>
      <c r="F7" s="24"/>
      <c r="G7" s="24"/>
      <c r="H7" s="24"/>
      <c r="I7" s="573"/>
      <c r="J7" s="573"/>
      <c r="K7" s="573"/>
      <c r="L7" s="573"/>
      <c r="M7" s="573"/>
      <c r="N7" s="43"/>
    </row>
    <row r="8" spans="1:14">
      <c r="A8" s="24"/>
      <c r="B8" s="48" t="s">
        <v>86</v>
      </c>
      <c r="C8" s="48" t="s">
        <v>87</v>
      </c>
      <c r="D8" s="987" t="s">
        <v>88</v>
      </c>
      <c r="E8" s="988"/>
      <c r="F8" s="988"/>
      <c r="G8" s="988"/>
      <c r="H8" s="988"/>
      <c r="I8" s="573"/>
      <c r="J8" s="573"/>
      <c r="K8" s="573"/>
      <c r="L8" s="573"/>
      <c r="M8" s="573"/>
      <c r="N8" s="43"/>
    </row>
    <row r="9" spans="1:14">
      <c r="A9" s="24"/>
      <c r="B9" s="26" t="s">
        <v>89</v>
      </c>
      <c r="C9" s="47">
        <v>43677</v>
      </c>
      <c r="D9" s="985"/>
      <c r="E9" s="986"/>
      <c r="F9" s="986"/>
      <c r="G9" s="986"/>
      <c r="H9" s="986"/>
      <c r="I9" s="24"/>
      <c r="J9" s="24"/>
      <c r="K9" s="24"/>
      <c r="L9" s="24"/>
      <c r="M9" s="24"/>
    </row>
    <row r="10" spans="1:14">
      <c r="A10" s="24"/>
      <c r="B10" s="26" t="s">
        <v>90</v>
      </c>
      <c r="C10" s="47"/>
      <c r="D10" s="985"/>
      <c r="E10" s="986"/>
      <c r="F10" s="986"/>
      <c r="G10" s="986"/>
      <c r="H10" s="986"/>
      <c r="I10" s="24"/>
      <c r="J10" s="24"/>
      <c r="K10" s="24"/>
      <c r="L10" s="24"/>
      <c r="M10" s="24"/>
    </row>
    <row r="11" spans="1:14">
      <c r="A11" s="24"/>
      <c r="B11" s="26" t="s">
        <v>91</v>
      </c>
      <c r="C11" s="47"/>
      <c r="D11" s="985"/>
      <c r="E11" s="986"/>
      <c r="F11" s="986"/>
      <c r="G11" s="986"/>
      <c r="H11" s="986"/>
      <c r="I11" s="24"/>
      <c r="J11" s="24"/>
      <c r="K11" s="24"/>
      <c r="L11" s="24"/>
      <c r="M11" s="24"/>
    </row>
    <row r="12" spans="1:14">
      <c r="A12" s="24"/>
      <c r="B12" s="26" t="s">
        <v>92</v>
      </c>
      <c r="C12" s="47"/>
      <c r="D12" s="985"/>
      <c r="E12" s="986"/>
      <c r="F12" s="986"/>
      <c r="G12" s="986"/>
      <c r="H12" s="986"/>
      <c r="I12" s="24"/>
      <c r="J12" s="24"/>
      <c r="K12" s="24"/>
      <c r="L12" s="24"/>
      <c r="M12" s="24"/>
    </row>
    <row r="13" spans="1:14">
      <c r="A13" s="24"/>
      <c r="B13" s="26" t="s">
        <v>93</v>
      </c>
      <c r="C13" s="47"/>
      <c r="D13" s="985"/>
      <c r="E13" s="986"/>
      <c r="F13" s="986"/>
      <c r="G13" s="986"/>
      <c r="H13" s="986"/>
      <c r="I13" s="24"/>
      <c r="J13" s="24"/>
      <c r="K13" s="24"/>
      <c r="L13" s="24"/>
      <c r="M13" s="24"/>
    </row>
    <row r="14" spans="1:14">
      <c r="A14" s="24"/>
      <c r="B14" s="26" t="s">
        <v>94</v>
      </c>
      <c r="C14" s="47"/>
      <c r="D14" s="985"/>
      <c r="E14" s="986"/>
      <c r="F14" s="986"/>
      <c r="G14" s="986"/>
      <c r="H14" s="986"/>
      <c r="I14" s="24"/>
      <c r="J14" s="24"/>
      <c r="K14" s="24"/>
      <c r="L14" s="24"/>
      <c r="M14" s="24"/>
    </row>
    <row r="15" spans="1:14">
      <c r="A15" s="24"/>
      <c r="B15" s="26" t="s">
        <v>95</v>
      </c>
      <c r="C15" s="47"/>
      <c r="D15" s="985"/>
      <c r="E15" s="986"/>
      <c r="F15" s="986"/>
      <c r="G15" s="986"/>
      <c r="H15" s="986"/>
      <c r="I15" s="24"/>
      <c r="J15" s="24"/>
      <c r="K15" s="24"/>
      <c r="L15" s="24"/>
      <c r="M15" s="24"/>
    </row>
    <row r="16" spans="1:14">
      <c r="A16" s="24"/>
      <c r="B16" s="26" t="s">
        <v>96</v>
      </c>
      <c r="C16" s="47"/>
      <c r="D16" s="985"/>
      <c r="E16" s="986"/>
      <c r="F16" s="986"/>
      <c r="G16" s="986"/>
      <c r="H16" s="986"/>
      <c r="I16" s="24"/>
      <c r="J16" s="24"/>
      <c r="K16" s="24"/>
      <c r="L16" s="24"/>
      <c r="M16" s="24"/>
    </row>
    <row r="17" spans="1:13">
      <c r="A17" s="24"/>
      <c r="B17" s="26" t="s">
        <v>97</v>
      </c>
      <c r="C17" s="47"/>
      <c r="D17" s="985"/>
      <c r="E17" s="986"/>
      <c r="F17" s="986"/>
      <c r="G17" s="986"/>
      <c r="H17" s="986"/>
      <c r="I17" s="24"/>
      <c r="J17" s="24"/>
      <c r="K17" s="24"/>
      <c r="L17" s="24"/>
      <c r="M17" s="24"/>
    </row>
    <row r="18" spans="1:13">
      <c r="A18" s="24"/>
      <c r="B18" s="26" t="s">
        <v>98</v>
      </c>
      <c r="C18" s="47"/>
      <c r="D18" s="985"/>
      <c r="E18" s="986"/>
      <c r="F18" s="986"/>
      <c r="G18" s="986"/>
      <c r="H18" s="986"/>
      <c r="I18" s="24"/>
      <c r="J18" s="24"/>
      <c r="K18" s="24"/>
      <c r="L18" s="24"/>
      <c r="M18" s="24"/>
    </row>
    <row r="19" spans="1:13">
      <c r="A19" s="24"/>
      <c r="B19" s="24"/>
      <c r="C19" s="24"/>
      <c r="D19" s="24"/>
      <c r="E19" s="24"/>
      <c r="F19" s="24"/>
      <c r="G19" s="24"/>
      <c r="H19" s="24"/>
      <c r="I19" s="24"/>
      <c r="J19" s="24"/>
      <c r="K19" s="24"/>
      <c r="L19" s="24"/>
      <c r="M19" s="24"/>
    </row>
    <row r="20" spans="1:13">
      <c r="A20" s="24"/>
      <c r="B20" s="223"/>
      <c r="C20" s="24"/>
      <c r="D20" s="24"/>
      <c r="E20" s="24"/>
      <c r="F20" s="24"/>
      <c r="G20" s="24"/>
      <c r="H20" s="24"/>
      <c r="I20" s="24"/>
      <c r="J20" s="24"/>
      <c r="K20" s="24"/>
      <c r="L20" s="24"/>
    </row>
    <row r="21" spans="1:13">
      <c r="A21" s="24"/>
      <c r="B21" s="301" t="s">
        <v>263</v>
      </c>
      <c r="C21" s="24"/>
      <c r="D21" s="24"/>
      <c r="E21" s="24"/>
      <c r="F21" s="24"/>
      <c r="G21" s="24"/>
      <c r="H21" s="24"/>
      <c r="I21" s="24"/>
      <c r="J21" s="24"/>
      <c r="K21" s="24"/>
      <c r="L21" s="24"/>
    </row>
    <row r="22" spans="1:13">
      <c r="A22" s="24"/>
      <c r="B22" s="301" t="s">
        <v>119</v>
      </c>
      <c r="C22" s="24"/>
      <c r="D22" s="24"/>
      <c r="E22" s="24"/>
      <c r="F22" s="24"/>
      <c r="G22" s="24"/>
      <c r="H22" s="24"/>
      <c r="I22" s="24"/>
      <c r="J22" s="24"/>
      <c r="K22" s="24"/>
      <c r="L22" s="24"/>
    </row>
    <row r="23" spans="1:13">
      <c r="A23" s="24"/>
      <c r="B23" s="301" t="s">
        <v>264</v>
      </c>
      <c r="C23" s="24"/>
      <c r="D23" s="24"/>
      <c r="E23" s="24"/>
      <c r="F23" s="24"/>
      <c r="G23" s="24"/>
      <c r="H23" s="24"/>
      <c r="I23" s="24"/>
      <c r="J23" s="24"/>
      <c r="K23" s="24"/>
      <c r="L23" s="24"/>
    </row>
    <row r="24" spans="1:13">
      <c r="B24" s="301" t="s">
        <v>99</v>
      </c>
    </row>
    <row r="25" spans="1:13">
      <c r="B25" s="301" t="s">
        <v>262</v>
      </c>
    </row>
    <row r="26" spans="1:13">
      <c r="B26" s="301" t="s">
        <v>100</v>
      </c>
    </row>
    <row r="27" spans="1:13">
      <c r="B27" s="301" t="s">
        <v>265</v>
      </c>
    </row>
    <row r="28" spans="1:13">
      <c r="B28" s="301" t="s">
        <v>281</v>
      </c>
      <c r="C28" t="s">
        <v>609</v>
      </c>
    </row>
    <row r="29" spans="1:13">
      <c r="B29" s="301" t="s">
        <v>237</v>
      </c>
    </row>
    <row r="30" spans="1:13">
      <c r="B30" s="301" t="s">
        <v>284</v>
      </c>
      <c r="C30" t="s">
        <v>609</v>
      </c>
    </row>
    <row r="31" spans="1:13">
      <c r="B31" s="301" t="s">
        <v>101</v>
      </c>
    </row>
    <row r="32" spans="1:13">
      <c r="B32" s="301" t="s">
        <v>261</v>
      </c>
    </row>
    <row r="33" spans="2:2">
      <c r="B33" s="301" t="s">
        <v>266</v>
      </c>
    </row>
    <row r="34" spans="2:2">
      <c r="B34" s="301" t="s">
        <v>259</v>
      </c>
    </row>
    <row r="35" spans="2:2">
      <c r="B35" s="301" t="s">
        <v>267</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72"/>
  <sheetViews>
    <sheetView showGridLines="0" zoomScale="80" zoomScaleNormal="80" zoomScaleSheetLayoutView="80" workbookViewId="0">
      <pane ySplit="5" topLeftCell="A6" activePane="bottomLeft" state="frozen"/>
      <selection activeCell="G29" sqref="G29"/>
      <selection pane="bottomLeft" activeCell="A3" sqref="A3"/>
    </sheetView>
  </sheetViews>
  <sheetFormatPr defaultRowHeight="12.75"/>
  <cols>
    <col min="1" max="1" width="19.125" bestFit="1" customWidth="1"/>
    <col min="2" max="2" width="12.125" bestFit="1" customWidth="1"/>
    <col min="3" max="3" width="104.125" customWidth="1"/>
    <col min="4" max="4" width="35.5" customWidth="1"/>
  </cols>
  <sheetData>
    <row r="1" spans="1:4" s="32" customFormat="1" ht="20.25">
      <c r="A1" s="30" t="s">
        <v>121</v>
      </c>
      <c r="B1" s="30"/>
      <c r="C1" s="30"/>
      <c r="D1" s="30"/>
    </row>
    <row r="2" spans="1:4" s="32" customFormat="1" ht="20.25">
      <c r="A2" s="30" t="str">
        <f>'RFPR cover'!C5</f>
        <v>WPD-SWEST</v>
      </c>
      <c r="B2" s="30"/>
      <c r="C2" s="30"/>
      <c r="D2" s="30"/>
    </row>
    <row r="3" spans="1:4" s="32" customFormat="1" ht="20.25">
      <c r="A3" s="30">
        <f>'RFPR cover'!C7</f>
        <v>2019</v>
      </c>
      <c r="B3" s="30"/>
      <c r="C3" s="30"/>
      <c r="D3" s="30"/>
    </row>
    <row r="4" spans="1:4" s="32" customFormat="1" ht="20.25">
      <c r="A4" s="867"/>
      <c r="B4" s="867"/>
      <c r="C4" s="867"/>
      <c r="D4" s="867"/>
    </row>
    <row r="5" spans="1:4" ht="30">
      <c r="A5" s="864" t="s">
        <v>453</v>
      </c>
      <c r="B5" s="865" t="s">
        <v>454</v>
      </c>
      <c r="C5" s="866" t="s">
        <v>455</v>
      </c>
    </row>
    <row r="6" spans="1:4" ht="25.5">
      <c r="A6" s="943">
        <v>1</v>
      </c>
      <c r="B6" s="873" t="s">
        <v>581</v>
      </c>
      <c r="C6" s="881" t="s">
        <v>593</v>
      </c>
    </row>
    <row r="7" spans="1:4">
      <c r="A7" s="943">
        <v>1</v>
      </c>
      <c r="B7" s="875" t="s">
        <v>580</v>
      </c>
      <c r="C7" s="882" t="s">
        <v>592</v>
      </c>
    </row>
    <row r="8" spans="1:4" ht="63.75">
      <c r="A8" s="943">
        <v>1</v>
      </c>
      <c r="B8" s="875" t="s">
        <v>100</v>
      </c>
      <c r="C8" s="882" t="s">
        <v>594</v>
      </c>
    </row>
    <row r="9" spans="1:4" ht="38.25">
      <c r="A9" s="943">
        <v>1</v>
      </c>
      <c r="B9" s="875" t="s">
        <v>265</v>
      </c>
      <c r="C9" s="882" t="s">
        <v>595</v>
      </c>
    </row>
    <row r="10" spans="1:4" ht="25.5">
      <c r="A10" s="943">
        <v>1</v>
      </c>
      <c r="B10" s="875" t="s">
        <v>541</v>
      </c>
      <c r="C10" s="882" t="s">
        <v>583</v>
      </c>
    </row>
    <row r="11" spans="1:4" ht="25.5">
      <c r="A11" s="943">
        <v>1</v>
      </c>
      <c r="B11" s="875" t="s">
        <v>596</v>
      </c>
      <c r="C11" s="881" t="s">
        <v>597</v>
      </c>
    </row>
    <row r="12" spans="1:4" ht="38.25">
      <c r="A12" s="943">
        <v>1</v>
      </c>
      <c r="B12" s="875" t="s">
        <v>598</v>
      </c>
      <c r="C12" s="881" t="s">
        <v>599</v>
      </c>
    </row>
    <row r="13" spans="1:4" ht="51">
      <c r="A13" s="943">
        <v>1</v>
      </c>
      <c r="B13" s="875" t="s">
        <v>598</v>
      </c>
      <c r="C13" s="881" t="s">
        <v>600</v>
      </c>
    </row>
    <row r="14" spans="1:4" ht="25.5">
      <c r="A14" s="943">
        <v>1</v>
      </c>
      <c r="B14" s="875" t="s">
        <v>101</v>
      </c>
      <c r="C14" s="881" t="s">
        <v>606</v>
      </c>
    </row>
    <row r="15" spans="1:4" ht="76.5">
      <c r="A15" s="943">
        <v>1</v>
      </c>
      <c r="B15" s="873" t="s">
        <v>261</v>
      </c>
      <c r="C15" s="881" t="s">
        <v>582</v>
      </c>
    </row>
    <row r="16" spans="1:4" ht="38.25">
      <c r="A16" s="943">
        <v>1</v>
      </c>
      <c r="B16" s="873" t="s">
        <v>261</v>
      </c>
      <c r="C16" s="881" t="s">
        <v>589</v>
      </c>
    </row>
    <row r="17" spans="1:3" ht="25.5">
      <c r="A17" s="943">
        <v>1</v>
      </c>
      <c r="B17" s="873" t="s">
        <v>261</v>
      </c>
      <c r="C17" s="881" t="s">
        <v>590</v>
      </c>
    </row>
    <row r="18" spans="1:3" ht="25.5">
      <c r="A18" s="943">
        <v>1</v>
      </c>
      <c r="B18" s="873" t="s">
        <v>261</v>
      </c>
      <c r="C18" s="881" t="s">
        <v>591</v>
      </c>
    </row>
    <row r="19" spans="1:3" ht="25.5">
      <c r="A19" s="943">
        <v>1</v>
      </c>
      <c r="B19" s="873" t="s">
        <v>261</v>
      </c>
      <c r="C19" s="881" t="s">
        <v>601</v>
      </c>
    </row>
    <row r="20" spans="1:3" ht="25.5">
      <c r="A20" s="943">
        <v>1</v>
      </c>
      <c r="B20" s="873" t="s">
        <v>261</v>
      </c>
      <c r="C20" s="881" t="s">
        <v>602</v>
      </c>
    </row>
    <row r="21" spans="1:3" ht="25.5">
      <c r="A21" s="943">
        <v>1</v>
      </c>
      <c r="B21" s="873" t="s">
        <v>261</v>
      </c>
      <c r="C21" s="881" t="s">
        <v>603</v>
      </c>
    </row>
    <row r="22" spans="1:3" ht="38.25">
      <c r="A22" s="943">
        <v>1</v>
      </c>
      <c r="B22" s="873" t="s">
        <v>604</v>
      </c>
      <c r="C22" s="302" t="s">
        <v>605</v>
      </c>
    </row>
    <row r="23" spans="1:3">
      <c r="A23" s="943"/>
      <c r="B23" s="873"/>
      <c r="C23" s="302"/>
    </row>
    <row r="24" spans="1:3">
      <c r="A24" s="943"/>
      <c r="B24" s="873"/>
      <c r="C24" s="302"/>
    </row>
    <row r="25" spans="1:3">
      <c r="A25" s="354"/>
      <c r="B25" s="873"/>
      <c r="C25" s="302"/>
    </row>
    <row r="26" spans="1:3">
      <c r="A26" s="354"/>
      <c r="B26" s="873"/>
      <c r="C26" s="302"/>
    </row>
    <row r="27" spans="1:3">
      <c r="A27" s="354"/>
      <c r="B27" s="873"/>
      <c r="C27" s="302"/>
    </row>
    <row r="28" spans="1:3">
      <c r="A28" s="354"/>
      <c r="B28" s="873"/>
      <c r="C28" s="302"/>
    </row>
    <row r="29" spans="1:3">
      <c r="A29" s="354"/>
      <c r="B29" s="873"/>
      <c r="C29" s="302"/>
    </row>
    <row r="30" spans="1:3">
      <c r="A30" s="354"/>
      <c r="B30" s="873"/>
      <c r="C30" s="302"/>
    </row>
    <row r="31" spans="1:3">
      <c r="A31" s="354"/>
      <c r="B31" s="873"/>
      <c r="C31" s="302"/>
    </row>
    <row r="32" spans="1:3">
      <c r="A32" s="354"/>
      <c r="B32" s="873"/>
      <c r="C32" s="302"/>
    </row>
    <row r="33" spans="1:3">
      <c r="A33" s="354"/>
      <c r="B33" s="873"/>
      <c r="C33" s="302"/>
    </row>
    <row r="34" spans="1:3">
      <c r="A34" s="354"/>
      <c r="B34" s="873"/>
      <c r="C34" s="302"/>
    </row>
    <row r="35" spans="1:3">
      <c r="A35" s="354"/>
      <c r="B35" s="873"/>
      <c r="C35" s="302"/>
    </row>
    <row r="36" spans="1:3">
      <c r="A36" s="354"/>
      <c r="B36" s="873"/>
      <c r="C36" s="302"/>
    </row>
    <row r="37" spans="1:3">
      <c r="A37" s="354"/>
      <c r="B37" s="873"/>
      <c r="C37" s="895"/>
    </row>
    <row r="38" spans="1:3">
      <c r="A38" s="354"/>
      <c r="B38" s="873"/>
      <c r="C38" s="302"/>
    </row>
    <row r="39" spans="1:3">
      <c r="A39" s="354"/>
      <c r="B39" s="873"/>
      <c r="C39" s="302"/>
    </row>
    <row r="40" spans="1:3">
      <c r="A40" s="355"/>
      <c r="B40" s="873"/>
      <c r="C40" s="302"/>
    </row>
    <row r="41" spans="1:3">
      <c r="A41" s="355"/>
      <c r="B41" s="898"/>
      <c r="C41" s="302"/>
    </row>
    <row r="42" spans="1:3">
      <c r="A42" s="355"/>
      <c r="B42" s="898"/>
      <c r="C42" s="302"/>
    </row>
    <row r="43" spans="1:3">
      <c r="A43" s="355"/>
      <c r="B43" s="898"/>
      <c r="C43" s="302"/>
    </row>
    <row r="44" spans="1:3">
      <c r="A44" s="355"/>
      <c r="B44" s="898"/>
      <c r="C44" s="302"/>
    </row>
    <row r="45" spans="1:3">
      <c r="A45" s="354"/>
      <c r="B45" s="898"/>
      <c r="C45" s="302"/>
    </row>
    <row r="46" spans="1:3">
      <c r="A46" s="355"/>
      <c r="B46" s="898"/>
      <c r="C46" s="302"/>
    </row>
    <row r="47" spans="1:3">
      <c r="A47" s="355"/>
      <c r="B47" s="898"/>
      <c r="C47" s="302"/>
    </row>
    <row r="48" spans="1:3">
      <c r="A48" s="355"/>
      <c r="B48" s="898"/>
      <c r="C48" s="302"/>
    </row>
    <row r="49" spans="1:3">
      <c r="A49" s="355"/>
      <c r="B49" s="873"/>
      <c r="C49" s="302"/>
    </row>
    <row r="50" spans="1:3">
      <c r="A50" s="355"/>
      <c r="B50" s="873"/>
      <c r="C50" s="302"/>
    </row>
    <row r="51" spans="1:3">
      <c r="A51" s="355"/>
      <c r="B51" s="873"/>
      <c r="C51" s="302"/>
    </row>
    <row r="52" spans="1:3">
      <c r="A52" s="355"/>
      <c r="B52" s="873"/>
      <c r="C52" s="302"/>
    </row>
    <row r="53" spans="1:3">
      <c r="A53" s="355"/>
      <c r="B53" s="873"/>
      <c r="C53" s="302"/>
    </row>
    <row r="54" spans="1:3">
      <c r="A54" s="355"/>
      <c r="B54" s="873"/>
      <c r="C54" s="302"/>
    </row>
    <row r="55" spans="1:3">
      <c r="A55" s="355"/>
      <c r="B55" s="873"/>
      <c r="C55" s="302"/>
    </row>
    <row r="56" spans="1:3">
      <c r="A56" s="355"/>
      <c r="B56" s="873"/>
      <c r="C56" s="302"/>
    </row>
    <row r="57" spans="1:3">
      <c r="A57" s="355"/>
      <c r="B57" s="873"/>
      <c r="C57" s="302"/>
    </row>
    <row r="58" spans="1:3">
      <c r="A58" s="355"/>
      <c r="B58" s="873"/>
      <c r="C58" s="302"/>
    </row>
    <row r="59" spans="1:3">
      <c r="A59" s="355"/>
      <c r="B59" s="905"/>
      <c r="C59" s="906"/>
    </row>
    <row r="60" spans="1:3">
      <c r="A60" s="355"/>
      <c r="B60" s="873"/>
      <c r="C60" s="302"/>
    </row>
    <row r="61" spans="1:3">
      <c r="A61" s="355"/>
      <c r="B61" s="873"/>
      <c r="C61" s="302"/>
    </row>
    <row r="62" spans="1:3">
      <c r="A62" s="355"/>
      <c r="B62" s="873"/>
      <c r="C62" s="302"/>
    </row>
    <row r="63" spans="1:3">
      <c r="A63" s="355"/>
      <c r="B63" s="873"/>
      <c r="C63" s="302"/>
    </row>
    <row r="64" spans="1:3">
      <c r="A64" s="355"/>
      <c r="B64" s="873"/>
      <c r="C64" s="895"/>
    </row>
    <row r="65" spans="1:3">
      <c r="A65" s="356"/>
      <c r="B65" s="874"/>
      <c r="C65" s="303"/>
    </row>
    <row r="66" spans="1:3">
      <c r="A66" s="356"/>
      <c r="B66" s="874"/>
      <c r="C66" s="303"/>
    </row>
    <row r="67" spans="1:3">
      <c r="A67" s="356"/>
      <c r="B67" s="874"/>
      <c r="C67" s="303"/>
    </row>
    <row r="68" spans="1:3">
      <c r="A68" s="356"/>
      <c r="B68" s="874"/>
      <c r="C68" s="303"/>
    </row>
    <row r="69" spans="1:3">
      <c r="A69" s="356"/>
      <c r="B69" s="874"/>
      <c r="C69" s="303"/>
    </row>
    <row r="70" spans="1:3">
      <c r="A70" s="356"/>
      <c r="B70" s="874"/>
      <c r="C70" s="303"/>
    </row>
    <row r="71" spans="1:3">
      <c r="A71" s="356"/>
      <c r="B71" s="874"/>
      <c r="C71" s="303"/>
    </row>
    <row r="72" spans="1:3">
      <c r="A72" s="356"/>
      <c r="B72" s="874"/>
      <c r="C72" s="303"/>
    </row>
  </sheetData>
  <pageMargins left="0.70866141732283472" right="0.70866141732283472" top="0.74803149606299213" bottom="0.74803149606299213" header="0.31496062992125984" footer="0.31496062992125984"/>
  <pageSetup paperSize="8"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Y70"/>
  <sheetViews>
    <sheetView showGridLines="0" zoomScale="80" zoomScaleNormal="80" zoomScaleSheetLayoutView="80" workbookViewId="0">
      <pane ySplit="6" topLeftCell="A7" activePane="bottomLeft" state="frozen"/>
      <selection activeCell="G29" sqref="G29"/>
      <selection pane="bottomLeft" activeCell="A3" sqref="A3"/>
    </sheetView>
  </sheetViews>
  <sheetFormatPr defaultRowHeight="12.75"/>
  <cols>
    <col min="1" max="1" width="8.375" customWidth="1"/>
    <col min="2" max="2" width="63.375" style="206" customWidth="1"/>
    <col min="3" max="3" width="13.375" style="43" customWidth="1"/>
    <col min="4" max="11" width="9.125" customWidth="1"/>
    <col min="12" max="12" width="3.625" customWidth="1"/>
    <col min="13" max="14" width="13.75" customWidth="1"/>
    <col min="15" max="15" width="5.125" customWidth="1"/>
  </cols>
  <sheetData>
    <row r="1" spans="1:25" s="32" customFormat="1" ht="20.25">
      <c r="A1" s="382" t="s">
        <v>239</v>
      </c>
      <c r="B1" s="386"/>
      <c r="C1" s="269"/>
      <c r="D1" s="269"/>
      <c r="E1" s="269"/>
      <c r="F1" s="269"/>
      <c r="G1" s="269"/>
      <c r="H1" s="269"/>
      <c r="I1" s="270"/>
      <c r="J1" s="270"/>
      <c r="K1" s="271"/>
      <c r="L1" s="271"/>
      <c r="M1" s="271"/>
      <c r="N1" s="271"/>
      <c r="O1" s="387" t="s">
        <v>84</v>
      </c>
    </row>
    <row r="2" spans="1:25" s="32" customFormat="1" ht="20.25">
      <c r="A2" s="126" t="str">
        <f>'RFPR cover'!C5</f>
        <v>WPD-SWEST</v>
      </c>
      <c r="B2" s="205"/>
      <c r="C2" s="30"/>
      <c r="D2" s="30"/>
      <c r="E2" s="30"/>
      <c r="F2" s="30"/>
      <c r="G2" s="30"/>
      <c r="H2" s="30"/>
      <c r="I2" s="27"/>
      <c r="J2" s="27"/>
      <c r="K2" s="27"/>
      <c r="L2" s="27"/>
      <c r="M2" s="27"/>
      <c r="N2" s="27"/>
      <c r="O2" s="127"/>
    </row>
    <row r="3" spans="1:25" s="32" customFormat="1" ht="23.25">
      <c r="A3" s="273">
        <f>'RFPR cover'!C7</f>
        <v>2019</v>
      </c>
      <c r="B3" s="933" t="str">
        <f>IF('RFPR cover'!C5=Data!B98,"Not required to be completed for System Operator",(IF('RFPR cover'!C5=Data!B96,"Not required to be completed for Syestem Operator","")))</f>
        <v/>
      </c>
      <c r="C3" s="274"/>
      <c r="D3" s="274"/>
      <c r="E3" s="274"/>
      <c r="F3" s="274"/>
      <c r="G3" s="274"/>
      <c r="H3" s="274"/>
      <c r="I3" s="267"/>
      <c r="J3" s="267"/>
      <c r="K3" s="267"/>
      <c r="L3" s="267"/>
      <c r="M3" s="267"/>
      <c r="N3" s="267"/>
      <c r="O3" s="275"/>
    </row>
    <row r="4" spans="1:25" ht="12.75" customHeight="1"/>
    <row r="5" spans="1:25">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c r="L5" s="2"/>
      <c r="M5" s="2"/>
    </row>
    <row r="6" spans="1:25" ht="31.5" customHeight="1">
      <c r="C6" s="18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L6" s="50"/>
      <c r="M6" s="103" t="str">
        <f>"Cumulative to "&amp;'RFPR cover'!$C$7</f>
        <v>Cumulative to 2019</v>
      </c>
      <c r="N6" s="203" t="s">
        <v>109</v>
      </c>
    </row>
    <row r="7" spans="1:25">
      <c r="C7" s="181"/>
      <c r="D7" s="181"/>
      <c r="E7" s="181"/>
      <c r="F7" s="181"/>
      <c r="G7" s="181"/>
      <c r="H7" s="181"/>
      <c r="I7" s="181"/>
      <c r="J7" s="181"/>
      <c r="K7" s="181"/>
      <c r="L7" s="181"/>
      <c r="M7" s="181"/>
      <c r="N7" s="181"/>
      <c r="O7" s="181"/>
    </row>
    <row r="8" spans="1:25">
      <c r="B8" s="556" t="s">
        <v>108</v>
      </c>
      <c r="C8" s="449"/>
      <c r="D8" s="449"/>
      <c r="E8" s="449"/>
      <c r="F8" s="449"/>
      <c r="G8" s="449"/>
      <c r="H8" s="449"/>
      <c r="I8" s="449"/>
      <c r="J8" s="449"/>
      <c r="K8" s="449"/>
      <c r="L8" s="557"/>
      <c r="M8" s="227"/>
      <c r="N8" s="227"/>
      <c r="O8" s="227"/>
    </row>
    <row r="9" spans="1:25">
      <c r="B9" s="207"/>
      <c r="D9" s="43"/>
      <c r="E9" s="43"/>
      <c r="F9" s="43"/>
      <c r="G9" s="43"/>
      <c r="H9" s="43"/>
      <c r="I9" s="43"/>
      <c r="J9" s="43"/>
      <c r="K9" s="43"/>
      <c r="L9" s="50"/>
    </row>
    <row r="10" spans="1:25">
      <c r="B10" s="262" t="s">
        <v>215</v>
      </c>
      <c r="C10" s="264" t="s">
        <v>7</v>
      </c>
      <c r="D10" s="533">
        <f t="shared" ref="D10:K19" si="1">D48/D$65</f>
        <v>6.4000000000000001E-2</v>
      </c>
      <c r="E10" s="535">
        <f t="shared" si="1"/>
        <v>6.4000000000000001E-2</v>
      </c>
      <c r="F10" s="535">
        <f t="shared" si="1"/>
        <v>6.4000000000000001E-2</v>
      </c>
      <c r="G10" s="535">
        <f t="shared" si="1"/>
        <v>6.4000000000000001E-2</v>
      </c>
      <c r="H10" s="535">
        <f t="shared" si="1"/>
        <v>6.4000000000000001E-2</v>
      </c>
      <c r="I10" s="535">
        <f t="shared" si="1"/>
        <v>6.4000000000000001E-2</v>
      </c>
      <c r="J10" s="535">
        <f t="shared" si="1"/>
        <v>6.4000000000000001E-2</v>
      </c>
      <c r="K10" s="534">
        <f t="shared" si="1"/>
        <v>6.4000000000000001E-2</v>
      </c>
      <c r="L10" s="182"/>
      <c r="M10" s="535">
        <f>AVERAGE(D48:INDEX(D48:K48,0,MATCH('RFPR cover'!$C$7,$D$6:$K$6,0)))/AVERAGE($D$65:INDEX($D$65:$K$65,0,MATCH('RFPR cover'!$C$7,$D$6:$K$6,0)))</f>
        <v>6.4000000000000001E-2</v>
      </c>
      <c r="N10" s="535">
        <f>AVERAGE(D48:K48)/AVERAGE($D$65:$K$65)</f>
        <v>6.3999999999999987E-2</v>
      </c>
      <c r="P10" s="940"/>
      <c r="Q10" s="940"/>
      <c r="S10" s="940"/>
      <c r="T10" s="940"/>
      <c r="U10" s="182"/>
      <c r="V10" s="182"/>
      <c r="W10" s="182"/>
      <c r="X10" s="182"/>
      <c r="Y10" s="182"/>
    </row>
    <row r="11" spans="1:25">
      <c r="B11" s="262" t="str">
        <f t="shared" ref="B11:B18" si="2">B49</f>
        <v>Totex outperformance</v>
      </c>
      <c r="C11" s="264" t="s">
        <v>7</v>
      </c>
      <c r="D11" s="184">
        <f t="shared" si="1"/>
        <v>7.0132399202173209E-3</v>
      </c>
      <c r="E11" s="185">
        <f t="shared" si="1"/>
        <v>-1.7322753685372987E-2</v>
      </c>
      <c r="F11" s="185">
        <f t="shared" si="1"/>
        <v>-2.8708843089948533E-2</v>
      </c>
      <c r="G11" s="185">
        <f t="shared" si="1"/>
        <v>3.6991466256557012E-2</v>
      </c>
      <c r="H11" s="185">
        <f t="shared" si="1"/>
        <v>4.9941456428012256E-3</v>
      </c>
      <c r="I11" s="185">
        <f t="shared" si="1"/>
        <v>1.2296357941958654E-2</v>
      </c>
      <c r="J11" s="185">
        <f t="shared" si="1"/>
        <v>1.7926836868977891E-2</v>
      </c>
      <c r="K11" s="186">
        <f t="shared" si="1"/>
        <v>2.2011709130923585E-2</v>
      </c>
      <c r="L11" s="182"/>
      <c r="M11" s="185">
        <f>AVERAGE(D49:INDEX(D49:K49,0,MATCH('RFPR cover'!$C$7,$D$6:$K$6,0)))/AVERAGE($D$65:INDEX($D$65:$K$65,0,MATCH('RFPR cover'!$C$7,$D$6:$K$6,0)))</f>
        <v>-1.5467501636727099E-4</v>
      </c>
      <c r="N11" s="185">
        <f t="shared" ref="N11:N19" si="3">AVERAGE(D49:K49)/AVERAGE($D$65:$K$65)</f>
        <v>7.7582175618291626E-3</v>
      </c>
      <c r="P11" s="940"/>
      <c r="Q11" s="940"/>
      <c r="S11" s="940"/>
      <c r="T11" s="940"/>
      <c r="U11" s="182"/>
      <c r="V11" s="182"/>
      <c r="W11" s="182"/>
      <c r="X11" s="182"/>
      <c r="Y11" s="182"/>
    </row>
    <row r="12" spans="1:25">
      <c r="B12" s="262" t="str">
        <f t="shared" si="2"/>
        <v>IQI Reward</v>
      </c>
      <c r="C12" s="264" t="s">
        <v>7</v>
      </c>
      <c r="D12" s="184">
        <f t="shared" si="1"/>
        <v>1.0136133897446964E-2</v>
      </c>
      <c r="E12" s="185">
        <f t="shared" si="1"/>
        <v>9.6588329213376217E-3</v>
      </c>
      <c r="F12" s="185">
        <f t="shared" si="1"/>
        <v>9.1806167825687363E-3</v>
      </c>
      <c r="G12" s="185">
        <f t="shared" si="1"/>
        <v>9.0306251722161775E-3</v>
      </c>
      <c r="H12" s="185">
        <f t="shared" si="1"/>
        <v>8.5597063798976726E-3</v>
      </c>
      <c r="I12" s="185">
        <f t="shared" si="1"/>
        <v>8.5622255809369597E-3</v>
      </c>
      <c r="J12" s="185">
        <f t="shared" si="1"/>
        <v>8.2455773904443353E-3</v>
      </c>
      <c r="K12" s="186">
        <f t="shared" si="1"/>
        <v>8.2921601469940365E-3</v>
      </c>
      <c r="L12" s="182"/>
      <c r="M12" s="185">
        <f>AVERAGE(D50:INDEX(D50:K50,0,MATCH('RFPR cover'!$C$7,$D$6:$K$6,0)))/AVERAGE($D$65:INDEX($D$65:$K$65,0,MATCH('RFPR cover'!$C$7,$D$6:$K$6,0)))</f>
        <v>9.4816540977698434E-3</v>
      </c>
      <c r="N12" s="185">
        <f t="shared" si="3"/>
        <v>8.9056303584435781E-3</v>
      </c>
      <c r="P12" s="940"/>
      <c r="Q12" s="940"/>
      <c r="S12" s="940"/>
      <c r="T12" s="940"/>
      <c r="U12" s="182"/>
      <c r="V12" s="182"/>
      <c r="W12" s="182"/>
      <c r="X12" s="182"/>
      <c r="Y12" s="182"/>
    </row>
    <row r="13" spans="1:25">
      <c r="B13" s="262" t="str">
        <f t="shared" si="2"/>
        <v>Broad measure of customer service</v>
      </c>
      <c r="C13" s="264" t="s">
        <v>7</v>
      </c>
      <c r="D13" s="184">
        <f t="shared" si="1"/>
        <v>7.1751492897681058E-3</v>
      </c>
      <c r="E13" s="185">
        <f t="shared" si="1"/>
        <v>6.9233185024378295E-3</v>
      </c>
      <c r="F13" s="185">
        <f t="shared" si="1"/>
        <v>6.7029216988632023E-3</v>
      </c>
      <c r="G13" s="185">
        <f t="shared" si="1"/>
        <v>6.7350729704483935E-3</v>
      </c>
      <c r="H13" s="185">
        <f t="shared" si="1"/>
        <v>6.4261394305355508E-3</v>
      </c>
      <c r="I13" s="185">
        <f t="shared" si="1"/>
        <v>6.2017836685729017E-3</v>
      </c>
      <c r="J13" s="185">
        <f t="shared" si="1"/>
        <v>5.977802728569021E-3</v>
      </c>
      <c r="K13" s="186">
        <f t="shared" si="1"/>
        <v>5.7442809398934088E-3</v>
      </c>
      <c r="L13" s="182"/>
      <c r="M13" s="185">
        <f>AVERAGE(D51:INDEX(D51:K51,0,MATCH('RFPR cover'!$C$7,$D$6:$K$6,0)))/AVERAGE($D$65:INDEX($D$65:$K$65,0,MATCH('RFPR cover'!$C$7,$D$6:$K$6,0)))</f>
        <v>6.8759438261831521E-3</v>
      </c>
      <c r="N13" s="185">
        <f t="shared" si="3"/>
        <v>6.4465600772384193E-3</v>
      </c>
      <c r="P13" s="940"/>
      <c r="Q13" s="940"/>
      <c r="S13" s="940"/>
      <c r="T13" s="940"/>
      <c r="U13" s="182"/>
      <c r="V13" s="182"/>
      <c r="W13" s="182"/>
      <c r="X13" s="182"/>
      <c r="Y13" s="182"/>
    </row>
    <row r="14" spans="1:25">
      <c r="B14" s="262" t="str">
        <f t="shared" si="2"/>
        <v>Interruptions-related quality of service</v>
      </c>
      <c r="C14" s="264" t="s">
        <v>7</v>
      </c>
      <c r="D14" s="184">
        <f t="shared" si="1"/>
        <v>9.1924259499366247E-3</v>
      </c>
      <c r="E14" s="185">
        <f t="shared" si="1"/>
        <v>6.1383572101344243E-3</v>
      </c>
      <c r="F14" s="185">
        <f t="shared" si="1"/>
        <v>-6.2857093606947037E-4</v>
      </c>
      <c r="G14" s="185">
        <f t="shared" si="1"/>
        <v>5.6924429682855245E-3</v>
      </c>
      <c r="H14" s="185">
        <f t="shared" si="1"/>
        <v>3.4485693394287502E-3</v>
      </c>
      <c r="I14" s="185">
        <f t="shared" si="1"/>
        <v>2.9904188408095573E-3</v>
      </c>
      <c r="J14" s="185">
        <f t="shared" si="1"/>
        <v>2.6341660999178915E-3</v>
      </c>
      <c r="K14" s="186">
        <f t="shared" si="1"/>
        <v>2.2927087314038048E-3</v>
      </c>
      <c r="L14" s="182"/>
      <c r="M14" s="185">
        <f>AVERAGE(D52:INDEX(D52:K52,0,MATCH('RFPR cover'!$C$7,$D$6:$K$6,0)))/AVERAGE($D$65:INDEX($D$65:$K$65,0,MATCH('RFPR cover'!$C$7,$D$6:$K$6,0)))</f>
        <v>5.0032464428009715E-3</v>
      </c>
      <c r="N14" s="185">
        <f t="shared" si="3"/>
        <v>3.8319968118149697E-3</v>
      </c>
      <c r="P14" s="940"/>
      <c r="Q14" s="940"/>
      <c r="S14" s="940"/>
      <c r="T14" s="940"/>
      <c r="U14" s="182"/>
      <c r="V14" s="182"/>
      <c r="W14" s="182"/>
      <c r="X14" s="182"/>
      <c r="Y14" s="182"/>
    </row>
    <row r="15" spans="1:25">
      <c r="B15" s="262" t="str">
        <f t="shared" si="2"/>
        <v>Incentive on connections engagement</v>
      </c>
      <c r="C15" s="264" t="s">
        <v>7</v>
      </c>
      <c r="D15" s="184">
        <f t="shared" si="1"/>
        <v>0</v>
      </c>
      <c r="E15" s="185">
        <f t="shared" si="1"/>
        <v>0</v>
      </c>
      <c r="F15" s="185">
        <f t="shared" si="1"/>
        <v>0</v>
      </c>
      <c r="G15" s="185">
        <f t="shared" si="1"/>
        <v>0</v>
      </c>
      <c r="H15" s="185">
        <f t="shared" si="1"/>
        <v>0</v>
      </c>
      <c r="I15" s="185">
        <f t="shared" si="1"/>
        <v>0</v>
      </c>
      <c r="J15" s="185">
        <f t="shared" si="1"/>
        <v>0</v>
      </c>
      <c r="K15" s="186">
        <f t="shared" si="1"/>
        <v>0</v>
      </c>
      <c r="L15" s="182"/>
      <c r="M15" s="185">
        <f>AVERAGE(D53:INDEX(D53:K53,0,MATCH('RFPR cover'!$C$7,$D$6:$K$6,0)))/AVERAGE($D$65:INDEX($D$65:$K$65,0,MATCH('RFPR cover'!$C$7,$D$6:$K$6,0)))</f>
        <v>0</v>
      </c>
      <c r="N15" s="185">
        <f t="shared" si="3"/>
        <v>0</v>
      </c>
      <c r="P15" s="940"/>
      <c r="Q15" s="940"/>
      <c r="S15" s="940"/>
      <c r="T15" s="940"/>
      <c r="U15" s="182"/>
      <c r="V15" s="182"/>
      <c r="W15" s="182"/>
      <c r="X15" s="182"/>
      <c r="Y15" s="182"/>
    </row>
    <row r="16" spans="1:25">
      <c r="B16" s="262" t="str">
        <f t="shared" si="2"/>
        <v>Time to Connect Incentive</v>
      </c>
      <c r="C16" s="264" t="s">
        <v>7</v>
      </c>
      <c r="D16" s="184">
        <f t="shared" si="1"/>
        <v>2.167571451181505E-3</v>
      </c>
      <c r="E16" s="185">
        <f t="shared" si="1"/>
        <v>1.7327813674767312E-3</v>
      </c>
      <c r="F16" s="185">
        <f t="shared" si="1"/>
        <v>2.093716715818953E-3</v>
      </c>
      <c r="G16" s="185">
        <f t="shared" si="1"/>
        <v>2.0713741259260001E-3</v>
      </c>
      <c r="H16" s="185">
        <f t="shared" si="1"/>
        <v>1.2979080000130757E-3</v>
      </c>
      <c r="I16" s="185">
        <f t="shared" si="1"/>
        <v>1.2525941468905198E-3</v>
      </c>
      <c r="J16" s="185">
        <f t="shared" si="1"/>
        <v>1.2073559977616487E-3</v>
      </c>
      <c r="K16" s="186">
        <f t="shared" si="1"/>
        <v>1.1601908528133108E-3</v>
      </c>
      <c r="L16" s="182"/>
      <c r="M16" s="185">
        <f>AVERAGE(D54:INDEX(D54:K54,0,MATCH('RFPR cover'!$C$7,$D$6:$K$6,0)))/AVERAGE($D$65:INDEX($D$65:$K$65,0,MATCH('RFPR cover'!$C$7,$D$6:$K$6,0)))</f>
        <v>2.0164820386273695E-3</v>
      </c>
      <c r="N16" s="185">
        <f t="shared" si="3"/>
        <v>1.5924349243669695E-3</v>
      </c>
      <c r="P16" s="940"/>
      <c r="Q16" s="940"/>
      <c r="S16" s="940"/>
      <c r="T16" s="940"/>
      <c r="U16" s="182"/>
      <c r="V16" s="182"/>
      <c r="W16" s="182"/>
      <c r="X16" s="182"/>
      <c r="Y16" s="182"/>
    </row>
    <row r="17" spans="2:25">
      <c r="B17" s="262" t="str">
        <f t="shared" si="2"/>
        <v>Losses discretionary reward scheme</v>
      </c>
      <c r="C17" s="264" t="s">
        <v>7</v>
      </c>
      <c r="D17" s="184">
        <f t="shared" si="1"/>
        <v>0</v>
      </c>
      <c r="E17" s="185">
        <f t="shared" si="1"/>
        <v>7.2743036537303176E-5</v>
      </c>
      <c r="F17" s="185">
        <f t="shared" si="1"/>
        <v>0</v>
      </c>
      <c r="G17" s="185">
        <f t="shared" si="1"/>
        <v>0</v>
      </c>
      <c r="H17" s="185">
        <f t="shared" si="1"/>
        <v>0</v>
      </c>
      <c r="I17" s="185">
        <f t="shared" si="1"/>
        <v>3.2145808434497885E-5</v>
      </c>
      <c r="J17" s="185">
        <f t="shared" si="1"/>
        <v>0</v>
      </c>
      <c r="K17" s="186">
        <f t="shared" si="1"/>
        <v>0</v>
      </c>
      <c r="L17" s="182"/>
      <c r="M17" s="185">
        <f>AVERAGE(D55:INDEX(D55:K55,0,MATCH('RFPR cover'!$C$7,$D$6:$K$6,0)))/AVERAGE($D$65:INDEX($D$65:$K$65,0,MATCH('RFPR cover'!$C$7,$D$6:$K$6,0)))</f>
        <v>1.7853059589864899E-5</v>
      </c>
      <c r="N17" s="185">
        <f t="shared" si="3"/>
        <v>1.2490914477032507E-5</v>
      </c>
      <c r="P17" s="940"/>
      <c r="Q17" s="940"/>
      <c r="S17" s="940"/>
      <c r="T17" s="940"/>
      <c r="U17" s="182"/>
      <c r="V17" s="182"/>
      <c r="W17" s="182"/>
      <c r="X17" s="182"/>
      <c r="Y17" s="182"/>
    </row>
    <row r="18" spans="2:25">
      <c r="B18" s="262" t="str">
        <f t="shared" si="2"/>
        <v xml:space="preserve">Network Innovation </v>
      </c>
      <c r="C18" s="264" t="s">
        <v>7</v>
      </c>
      <c r="D18" s="184">
        <f t="shared" si="1"/>
        <v>-9.1216701032435283E-5</v>
      </c>
      <c r="E18" s="185">
        <f t="shared" si="1"/>
        <v>1.6082267704307061E-4</v>
      </c>
      <c r="F18" s="185">
        <f t="shared" si="1"/>
        <v>5.4393101789252762E-4</v>
      </c>
      <c r="G18" s="185">
        <f t="shared" si="1"/>
        <v>-1.8081315990361421E-4</v>
      </c>
      <c r="H18" s="185">
        <f t="shared" si="1"/>
        <v>-2.7693697132927437E-4</v>
      </c>
      <c r="I18" s="185">
        <f t="shared" si="1"/>
        <v>-6.4354010945012025E-4</v>
      </c>
      <c r="J18" s="185">
        <f t="shared" si="1"/>
        <v>-8.8881690550145058E-4</v>
      </c>
      <c r="K18" s="186">
        <f t="shared" si="1"/>
        <v>-5.9728938796173954E-4</v>
      </c>
      <c r="L18" s="182"/>
      <c r="M18" s="185">
        <f>AVERAGE(D56:INDEX(D56:K56,0,MATCH('RFPR cover'!$C$7,$D$6:$K$6,0)))/AVERAGE($D$65:INDEX($D$65:$K$65,0,MATCH('RFPR cover'!$C$7,$D$6:$K$6,0)))</f>
        <v>1.0937814691599812E-4</v>
      </c>
      <c r="N18" s="185">
        <f t="shared" si="3"/>
        <v>-2.7557036982920745E-4</v>
      </c>
      <c r="P18" s="940"/>
      <c r="Q18" s="940"/>
      <c r="S18" s="940"/>
      <c r="T18" s="940"/>
      <c r="U18" s="182"/>
      <c r="V18" s="182"/>
      <c r="W18" s="182"/>
      <c r="X18" s="182"/>
      <c r="Y18" s="182"/>
    </row>
    <row r="19" spans="2:25">
      <c r="B19" s="262" t="str">
        <f>B57</f>
        <v>Penalties and fines</v>
      </c>
      <c r="C19" s="264" t="s">
        <v>7</v>
      </c>
      <c r="D19" s="194">
        <f t="shared" si="1"/>
        <v>-8.497884742500972E-5</v>
      </c>
      <c r="E19" s="195">
        <f t="shared" si="1"/>
        <v>-8.6320504647985631E-5</v>
      </c>
      <c r="F19" s="195">
        <f t="shared" si="1"/>
        <v>-7.9585282603494836E-5</v>
      </c>
      <c r="G19" s="195">
        <f t="shared" si="1"/>
        <v>-1.0683611465176069E-4</v>
      </c>
      <c r="H19" s="195">
        <f t="shared" si="1"/>
        <v>-7.6775205114796319E-5</v>
      </c>
      <c r="I19" s="195">
        <f t="shared" si="1"/>
        <v>-7.3874242739692473E-5</v>
      </c>
      <c r="J19" s="195">
        <f t="shared" si="1"/>
        <v>-6.9115488959178178E-5</v>
      </c>
      <c r="K19" s="196">
        <f t="shared" si="1"/>
        <v>-6.4434154558515644E-5</v>
      </c>
      <c r="L19" s="182"/>
      <c r="M19" s="195">
        <f>AVERAGE(D57:INDEX(D57:K57,0,MATCH('RFPR cover'!$C$7,$D$6:$K$6,0)))/AVERAGE($D$65:INDEX($D$65:$K$65,0,MATCH('RFPR cover'!$C$7,$D$6:$K$6,0)))</f>
        <v>-8.9719545645945689E-5</v>
      </c>
      <c r="N19" s="195">
        <f t="shared" si="3"/>
        <v>-7.9581690445272457E-5</v>
      </c>
      <c r="P19" s="940"/>
      <c r="Q19" s="940"/>
      <c r="S19" s="940"/>
      <c r="T19" s="940"/>
      <c r="U19" s="182"/>
      <c r="V19" s="182"/>
      <c r="W19" s="182"/>
      <c r="X19" s="182"/>
      <c r="Y19" s="182"/>
    </row>
    <row r="20" spans="2:25">
      <c r="B20" s="263" t="str">
        <f>B58</f>
        <v>RoRE - Operational performance</v>
      </c>
      <c r="C20" s="264" t="s">
        <v>7</v>
      </c>
      <c r="D20" s="197">
        <f t="shared" ref="D20:K20" si="4">SUM(D10:D19)</f>
        <v>9.9508324960093084E-2</v>
      </c>
      <c r="E20" s="198">
        <f t="shared" si="4"/>
        <v>7.1277781524945988E-2</v>
      </c>
      <c r="F20" s="198">
        <f t="shared" si="4"/>
        <v>5.3104186906521925E-2</v>
      </c>
      <c r="G20" s="198">
        <f t="shared" si="4"/>
        <v>0.12423333221887774</v>
      </c>
      <c r="H20" s="198">
        <f t="shared" si="4"/>
        <v>8.8372756616232187E-2</v>
      </c>
      <c r="I20" s="198">
        <f t="shared" si="4"/>
        <v>9.4618111635413296E-2</v>
      </c>
      <c r="J20" s="198">
        <f t="shared" si="4"/>
        <v>9.9033806691210147E-2</v>
      </c>
      <c r="K20" s="199">
        <f t="shared" si="4"/>
        <v>0.10283932625950788</v>
      </c>
      <c r="L20" s="183"/>
      <c r="M20" s="198">
        <f>SUM(M10:M19)</f>
        <v>8.7260163049873954E-2</v>
      </c>
      <c r="N20" s="198">
        <f>SUM(N10:N19)</f>
        <v>9.2192178587895635E-2</v>
      </c>
      <c r="P20" s="940"/>
      <c r="Q20" s="940"/>
      <c r="S20" s="940"/>
      <c r="T20" s="940"/>
      <c r="U20" s="182"/>
      <c r="V20" s="182"/>
      <c r="W20" s="182"/>
      <c r="X20" s="182"/>
      <c r="Y20" s="182"/>
    </row>
    <row r="21" spans="2:25">
      <c r="B21" s="262" t="str">
        <f>B59</f>
        <v>Debt performance - at notional gearing</v>
      </c>
      <c r="C21" s="264" t="s">
        <v>7</v>
      </c>
      <c r="D21" s="184">
        <f>(D59)/D$65</f>
        <v>-1.1613720197412636E-2</v>
      </c>
      <c r="E21" s="185">
        <f t="shared" ref="E21:K21" si="5">(E59)/E$65</f>
        <v>-1.9098137526109811E-3</v>
      </c>
      <c r="F21" s="185">
        <f t="shared" si="5"/>
        <v>1.7343835979358048E-2</v>
      </c>
      <c r="G21" s="185">
        <f t="shared" si="5"/>
        <v>1.1091884659838354E-2</v>
      </c>
      <c r="H21" s="185">
        <f t="shared" si="5"/>
        <v>-1.217476315545536E-3</v>
      </c>
      <c r="I21" s="185">
        <f t="shared" si="5"/>
        <v>-5.4701223105588686E-3</v>
      </c>
      <c r="J21" s="185">
        <f t="shared" si="5"/>
        <v>-4.3120251763069878E-3</v>
      </c>
      <c r="K21" s="186">
        <f t="shared" si="5"/>
        <v>-5.8875255634558629E-3</v>
      </c>
      <c r="L21" s="182"/>
      <c r="M21" s="185">
        <f>AVERAGE(D59:INDEX(D59:K59,0,MATCH('RFPR cover'!$C$7,$D$6:$K$6,0)))/AVERAGE($D$65:INDEX($D$65:$K$65,0,MATCH('RFPR cover'!$C$7,$D$6:$K$6,0)))</f>
        <v>4.1913932368184692E-3</v>
      </c>
      <c r="N21" s="185">
        <f>AVERAGE(D59:K59)/AVERAGE($D$65:$K$65)</f>
        <v>-3.61343681394184E-4</v>
      </c>
      <c r="P21" s="940"/>
      <c r="Q21" s="940"/>
      <c r="S21" s="940"/>
      <c r="T21" s="940"/>
      <c r="U21" s="182"/>
      <c r="V21" s="182"/>
      <c r="W21" s="182"/>
      <c r="X21" s="182"/>
      <c r="Y21" s="182"/>
    </row>
    <row r="22" spans="2:25">
      <c r="B22" s="262" t="str">
        <f>B61</f>
        <v>Tax performance - at notional gearing</v>
      </c>
      <c r="C22" s="264" t="s">
        <v>7</v>
      </c>
      <c r="D22" s="184">
        <f>(D61)/D$65</f>
        <v>1.0973171780395057E-4</v>
      </c>
      <c r="E22" s="185">
        <f t="shared" ref="E22:K22" si="6">(E61)/E$65</f>
        <v>1.400595633784541E-2</v>
      </c>
      <c r="F22" s="185">
        <f t="shared" si="6"/>
        <v>-7.6041629562609856E-3</v>
      </c>
      <c r="G22" s="185">
        <f t="shared" si="6"/>
        <v>-2.183553010609866E-4</v>
      </c>
      <c r="H22" s="185">
        <f t="shared" si="6"/>
        <v>-4.2742476408009905E-3</v>
      </c>
      <c r="I22" s="185">
        <f t="shared" si="6"/>
        <v>-1.688608070288828E-3</v>
      </c>
      <c r="J22" s="185">
        <f t="shared" si="6"/>
        <v>3.3990884334620178E-3</v>
      </c>
      <c r="K22" s="186">
        <f t="shared" si="6"/>
        <v>3.3081258420235328E-3</v>
      </c>
      <c r="L22" s="182"/>
      <c r="M22" s="185">
        <f>AVERAGE(D61:INDEX(D61:K61,0,MATCH('RFPR cover'!$C$7,$D$6:$K$6,0)))/AVERAGE($D$65:INDEX($D$65:$K$65,0,MATCH('RFPR cover'!$C$7,$D$6:$K$6,0)))</f>
        <v>1.4600197102553755E-3</v>
      </c>
      <c r="N22" s="185">
        <f>AVERAGE(D61:K61)/AVERAGE($D$65:$K$65)</f>
        <v>8.4452258699760938E-4</v>
      </c>
      <c r="P22" s="940"/>
      <c r="Q22" s="940"/>
      <c r="S22" s="940"/>
      <c r="T22" s="940"/>
      <c r="U22" s="182"/>
      <c r="V22" s="182"/>
      <c r="W22" s="182"/>
      <c r="X22" s="182"/>
      <c r="Y22" s="182"/>
    </row>
    <row r="23" spans="2:25">
      <c r="B23" s="263" t="str">
        <f>B63</f>
        <v>RoRE - including financing and tax</v>
      </c>
      <c r="C23" s="264" t="s">
        <v>7</v>
      </c>
      <c r="D23" s="200">
        <f>SUM(D20:D22)</f>
        <v>8.8004336480484405E-2</v>
      </c>
      <c r="E23" s="201">
        <f t="shared" ref="E23:K23" si="7">SUM(E20:E22)</f>
        <v>8.3373924110180408E-2</v>
      </c>
      <c r="F23" s="201">
        <f t="shared" si="7"/>
        <v>6.2843859929618995E-2</v>
      </c>
      <c r="G23" s="201">
        <f t="shared" si="7"/>
        <v>0.13510686157765511</v>
      </c>
      <c r="H23" s="201">
        <f t="shared" si="7"/>
        <v>8.2881032659885667E-2</v>
      </c>
      <c r="I23" s="201">
        <f t="shared" si="7"/>
        <v>8.7459381254565607E-2</v>
      </c>
      <c r="J23" s="201">
        <f t="shared" si="7"/>
        <v>9.8120869948365164E-2</v>
      </c>
      <c r="K23" s="202">
        <f t="shared" si="7"/>
        <v>0.10025992653807556</v>
      </c>
      <c r="L23" s="183"/>
      <c r="M23" s="201">
        <f>SUM(M20:M22)</f>
        <v>9.2911575996947798E-2</v>
      </c>
      <c r="N23" s="201">
        <f>SUM(N20:N22)</f>
        <v>9.2675357493499061E-2</v>
      </c>
      <c r="P23" s="940"/>
      <c r="Q23" s="940"/>
      <c r="S23" s="940"/>
      <c r="T23" s="940"/>
      <c r="U23" s="182"/>
      <c r="V23" s="182"/>
      <c r="W23" s="182"/>
      <c r="X23" s="182"/>
      <c r="Y23" s="182"/>
    </row>
    <row r="24" spans="2:25">
      <c r="P24" s="940"/>
      <c r="Q24" s="940"/>
      <c r="S24" s="940"/>
      <c r="T24" s="940"/>
      <c r="U24" s="182"/>
      <c r="V24" s="182"/>
      <c r="W24" s="182"/>
      <c r="X24" s="182"/>
      <c r="Y24" s="182"/>
    </row>
    <row r="25" spans="2:25">
      <c r="P25" s="940"/>
      <c r="Q25" s="940"/>
      <c r="S25" s="940"/>
      <c r="T25" s="940"/>
      <c r="U25" s="182"/>
      <c r="V25" s="182"/>
      <c r="W25" s="182"/>
      <c r="X25" s="182"/>
      <c r="Y25" s="182"/>
    </row>
    <row r="26" spans="2:25" s="32" customFormat="1">
      <c r="B26" s="495"/>
      <c r="C26" s="385"/>
      <c r="P26" s="941"/>
      <c r="Q26" s="940"/>
      <c r="R26"/>
      <c r="S26" s="941"/>
      <c r="T26" s="941"/>
      <c r="U26" s="182"/>
      <c r="V26" s="182"/>
      <c r="W26" s="182"/>
      <c r="X26" s="182"/>
      <c r="Y26" s="182"/>
    </row>
    <row r="27" spans="2:25">
      <c r="B27" s="556" t="s">
        <v>216</v>
      </c>
      <c r="C27" s="449"/>
      <c r="D27" s="227"/>
      <c r="E27" s="227"/>
      <c r="F27" s="227"/>
      <c r="G27" s="227"/>
      <c r="H27" s="227"/>
      <c r="I27" s="227"/>
      <c r="J27" s="227"/>
      <c r="K27" s="227"/>
      <c r="L27" s="557"/>
      <c r="M27" s="227"/>
      <c r="N27" s="227"/>
      <c r="O27" s="227"/>
      <c r="P27" s="940"/>
      <c r="Q27" s="940"/>
      <c r="S27" s="940"/>
      <c r="T27" s="940"/>
      <c r="U27" s="182"/>
      <c r="V27" s="182"/>
      <c r="W27" s="182"/>
      <c r="X27" s="182"/>
      <c r="Y27" s="182"/>
    </row>
    <row r="28" spans="2:25">
      <c r="B28" s="207"/>
      <c r="L28" s="50"/>
      <c r="P28" s="940"/>
      <c r="Q28" s="940"/>
      <c r="S28" s="940"/>
      <c r="T28" s="940"/>
      <c r="U28" s="182"/>
      <c r="V28" s="182"/>
      <c r="W28" s="182"/>
      <c r="X28" s="182"/>
      <c r="Y28" s="182"/>
    </row>
    <row r="29" spans="2:25">
      <c r="B29" s="262" t="s">
        <v>215</v>
      </c>
      <c r="C29" s="264" t="s">
        <v>7</v>
      </c>
      <c r="D29" s="184">
        <f t="shared" ref="D29:K38" si="8">D48/D$66</f>
        <v>5.1373849872152988E-2</v>
      </c>
      <c r="E29" s="185">
        <f t="shared" si="8"/>
        <v>5.4926054090465304E-2</v>
      </c>
      <c r="F29" s="185">
        <f t="shared" si="8"/>
        <v>5.4985867522095479E-2</v>
      </c>
      <c r="G29" s="185">
        <f t="shared" si="8"/>
        <v>5.536575341125119E-2</v>
      </c>
      <c r="H29" s="185">
        <f t="shared" si="8"/>
        <v>5.6834156429583761E-2</v>
      </c>
      <c r="I29" s="185">
        <f t="shared" si="8"/>
        <v>5.8915193294726761E-2</v>
      </c>
      <c r="J29" s="185">
        <f t="shared" si="8"/>
        <v>5.7459741560634339E-2</v>
      </c>
      <c r="K29" s="186">
        <f t="shared" si="8"/>
        <v>5.5083972483870584E-2</v>
      </c>
      <c r="L29" s="182"/>
      <c r="M29" s="185">
        <f>AVERAGE(D48:INDEX(D48:K48,0,MATCH('RFPR cover'!$C$7,$D$6:$K$6,0)))/AVERAGE($D$66:INDEX($D$66:$K$66,0,MATCH('RFPR cover'!$C$7,$D$6:$K$6,0)))</f>
        <v>5.4179232304556402E-2</v>
      </c>
      <c r="N29" s="185">
        <f>AVERAGE(D48:K48)/AVERAGE($D$66:$K$66)</f>
        <v>5.5662522904608873E-2</v>
      </c>
      <c r="P29" s="942"/>
      <c r="Q29" s="940"/>
      <c r="S29" s="940"/>
      <c r="T29" s="940"/>
      <c r="U29" s="182"/>
      <c r="V29" s="182"/>
      <c r="W29" s="182"/>
      <c r="X29" s="182"/>
      <c r="Y29" s="182"/>
    </row>
    <row r="30" spans="2:25">
      <c r="B30" s="262" t="str">
        <f t="shared" ref="B30:B37" si="9">B49</f>
        <v>Totex outperformance</v>
      </c>
      <c r="C30" s="264" t="s">
        <v>7</v>
      </c>
      <c r="D30" s="184">
        <f t="shared" si="8"/>
        <v>5.6296427309161694E-3</v>
      </c>
      <c r="E30" s="185">
        <f t="shared" si="8"/>
        <v>-1.4866726654978187E-2</v>
      </c>
      <c r="F30" s="185">
        <f t="shared" si="8"/>
        <v>-2.4665322544633377E-2</v>
      </c>
      <c r="G30" s="185">
        <f t="shared" si="8"/>
        <v>3.2000943735643043E-2</v>
      </c>
      <c r="H30" s="185">
        <f t="shared" si="8"/>
        <v>4.4349696046107655E-3</v>
      </c>
      <c r="I30" s="185">
        <f t="shared" si="8"/>
        <v>1.1319411015181916E-2</v>
      </c>
      <c r="J30" s="185">
        <f t="shared" si="8"/>
        <v>1.6094865835798763E-2</v>
      </c>
      <c r="K30" s="186">
        <f t="shared" si="8"/>
        <v>1.8945193438918088E-2</v>
      </c>
      <c r="L30" s="182"/>
      <c r="M30" s="185">
        <f>AVERAGE(D49:INDEX(D49:K49,0,MATCH('RFPR cover'!$C$7,$D$6:$K$6,0)))/AVERAGE($D$66:INDEX($D$66:$K$66,0,MATCH('RFPR cover'!$C$7,$D$6:$K$6,0)))</f>
        <v>-1.3094021317927246E-4</v>
      </c>
      <c r="N30" s="185">
        <f t="shared" ref="N30:N38" si="10">AVERAGE(D49:K49)/AVERAGE($D$66:$K$66)</f>
        <v>6.7475306677227285E-3</v>
      </c>
      <c r="P30" s="940"/>
      <c r="Q30" s="940"/>
      <c r="S30" s="940"/>
      <c r="T30" s="940"/>
      <c r="U30" s="182"/>
      <c r="V30" s="182"/>
      <c r="W30" s="182"/>
      <c r="X30" s="182"/>
      <c r="Y30" s="182"/>
    </row>
    <row r="31" spans="2:25">
      <c r="B31" s="262" t="str">
        <f t="shared" si="9"/>
        <v>IQI Reward</v>
      </c>
      <c r="C31" s="264" t="s">
        <v>7</v>
      </c>
      <c r="D31" s="184">
        <f t="shared" si="8"/>
        <v>8.1364409551793939E-3</v>
      </c>
      <c r="E31" s="185">
        <f t="shared" si="8"/>
        <v>8.2893996795024572E-3</v>
      </c>
      <c r="F31" s="185">
        <f t="shared" si="8"/>
        <v>7.8875652840226709E-3</v>
      </c>
      <c r="G31" s="185">
        <f t="shared" si="8"/>
        <v>7.8123026005368539E-3</v>
      </c>
      <c r="H31" s="185">
        <f t="shared" si="8"/>
        <v>7.6013076779126642E-3</v>
      </c>
      <c r="I31" s="185">
        <f t="shared" si="8"/>
        <v>7.8819558614680492E-3</v>
      </c>
      <c r="J31" s="185">
        <f t="shared" si="8"/>
        <v>7.4029491542678318E-3</v>
      </c>
      <c r="K31" s="186">
        <f t="shared" si="8"/>
        <v>7.1369550213885588E-3</v>
      </c>
      <c r="L31" s="182"/>
      <c r="M31" s="185">
        <f>AVERAGE(D50:INDEX(D50:K50,0,MATCH('RFPR cover'!$C$7,$D$6:$K$6,0)))/AVERAGE($D$66:INDEX($D$66:$K$66,0,MATCH('RFPR cover'!$C$7,$D$6:$K$6,0)))</f>
        <v>8.0266990624143983E-3</v>
      </c>
      <c r="N31" s="185">
        <f t="shared" si="10"/>
        <v>7.7454664657319672E-3</v>
      </c>
      <c r="P31" s="940"/>
      <c r="Q31" s="940"/>
      <c r="S31" s="940"/>
      <c r="T31" s="940"/>
      <c r="U31" s="182"/>
      <c r="V31" s="182"/>
      <c r="W31" s="182"/>
      <c r="X31" s="182"/>
      <c r="Y31" s="182"/>
    </row>
    <row r="32" spans="2:25">
      <c r="B32" s="262" t="str">
        <f t="shared" si="9"/>
        <v>Broad measure of customer service</v>
      </c>
      <c r="C32" s="264" t="s">
        <v>7</v>
      </c>
      <c r="D32" s="184">
        <f t="shared" si="8"/>
        <v>5.7596100378567473E-3</v>
      </c>
      <c r="E32" s="185">
        <f t="shared" si="8"/>
        <v>5.9417276023503041E-3</v>
      </c>
      <c r="F32" s="185">
        <f t="shared" si="8"/>
        <v>5.7588431960104878E-3</v>
      </c>
      <c r="G32" s="185">
        <f t="shared" si="8"/>
        <v>5.8264435826348255E-3</v>
      </c>
      <c r="H32" s="185">
        <f t="shared" si="8"/>
        <v>5.7066283380214659E-3</v>
      </c>
      <c r="I32" s="185">
        <f t="shared" si="8"/>
        <v>5.7090513063445649E-3</v>
      </c>
      <c r="J32" s="185">
        <f t="shared" si="8"/>
        <v>5.3669218731879804E-3</v>
      </c>
      <c r="K32" s="186">
        <f t="shared" si="8"/>
        <v>4.9440283317611061E-3</v>
      </c>
      <c r="L32" s="182"/>
      <c r="M32" s="185">
        <f>AVERAGE(D51:INDEX(D51:K51,0,MATCH('RFPR cover'!$C$7,$D$6:$K$6,0)))/AVERAGE($D$66:INDEX($D$66:$K$66,0,MATCH('RFPR cover'!$C$7,$D$6:$K$6,0)))</f>
        <v>5.8208337167477715E-3</v>
      </c>
      <c r="N32" s="185">
        <f t="shared" si="10"/>
        <v>5.6067468430503241E-3</v>
      </c>
      <c r="P32" s="940"/>
      <c r="Q32" s="940"/>
      <c r="S32" s="940"/>
      <c r="T32" s="940"/>
      <c r="U32" s="182"/>
      <c r="V32" s="182"/>
      <c r="W32" s="182"/>
      <c r="X32" s="182"/>
      <c r="Y32" s="182"/>
    </row>
    <row r="33" spans="2:25">
      <c r="B33" s="262" t="str">
        <f t="shared" si="9"/>
        <v>Interruptions-related quality of service</v>
      </c>
      <c r="C33" s="264" t="s">
        <v>7</v>
      </c>
      <c r="D33" s="184">
        <f t="shared" si="8"/>
        <v>7.3789111048894913E-3</v>
      </c>
      <c r="E33" s="185">
        <f t="shared" si="8"/>
        <v>5.268058439850642E-3</v>
      </c>
      <c r="F33" s="185">
        <f t="shared" si="8"/>
        <v>-5.4003934717117882E-4</v>
      </c>
      <c r="G33" s="185">
        <f t="shared" si="8"/>
        <v>4.9244749014016728E-3</v>
      </c>
      <c r="H33" s="185">
        <f t="shared" si="8"/>
        <v>3.062445770239999E-3</v>
      </c>
      <c r="I33" s="185">
        <f t="shared" si="8"/>
        <v>2.7528297506013719E-3</v>
      </c>
      <c r="J33" s="185">
        <f t="shared" si="8"/>
        <v>2.3649766145166584E-3</v>
      </c>
      <c r="K33" s="186">
        <f t="shared" si="8"/>
        <v>1.9733047605340159E-3</v>
      </c>
      <c r="L33" s="182"/>
      <c r="M33" s="185">
        <f>AVERAGE(D52:INDEX(D52:K52,0,MATCH('RFPR cover'!$C$7,$D$6:$K$6,0)))/AVERAGE($D$66:INDEX($D$66:$K$66,0,MATCH('RFPR cover'!$C$7,$D$6:$K$6,0)))</f>
        <v>4.2355008015853013E-3</v>
      </c>
      <c r="N33" s="185">
        <f t="shared" si="10"/>
        <v>3.3327907860631087E-3</v>
      </c>
      <c r="P33" s="940"/>
      <c r="Q33" s="940"/>
      <c r="S33" s="940"/>
      <c r="T33" s="940"/>
      <c r="U33" s="182"/>
      <c r="V33" s="182"/>
      <c r="W33" s="182"/>
      <c r="X33" s="182"/>
      <c r="Y33" s="182"/>
    </row>
    <row r="34" spans="2:25">
      <c r="B34" s="262" t="str">
        <f t="shared" si="9"/>
        <v>Incentive on connections engagement</v>
      </c>
      <c r="C34" s="264" t="s">
        <v>7</v>
      </c>
      <c r="D34" s="184">
        <f t="shared" si="8"/>
        <v>0</v>
      </c>
      <c r="E34" s="185">
        <f t="shared" si="8"/>
        <v>0</v>
      </c>
      <c r="F34" s="185">
        <f t="shared" si="8"/>
        <v>0</v>
      </c>
      <c r="G34" s="185">
        <f t="shared" si="8"/>
        <v>0</v>
      </c>
      <c r="H34" s="185">
        <f t="shared" si="8"/>
        <v>0</v>
      </c>
      <c r="I34" s="185">
        <f t="shared" si="8"/>
        <v>0</v>
      </c>
      <c r="J34" s="185">
        <f t="shared" si="8"/>
        <v>0</v>
      </c>
      <c r="K34" s="186">
        <f t="shared" si="8"/>
        <v>0</v>
      </c>
      <c r="L34" s="182"/>
      <c r="M34" s="185">
        <f>AVERAGE(D53:INDEX(D53:K53,0,MATCH('RFPR cover'!$C$7,$D$6:$K$6,0)))/AVERAGE($D$66:INDEX($D$66:$K$66,0,MATCH('RFPR cover'!$C$7,$D$6:$K$6,0)))</f>
        <v>0</v>
      </c>
      <c r="N34" s="185">
        <f t="shared" si="10"/>
        <v>0</v>
      </c>
      <c r="P34" s="940"/>
      <c r="Q34" s="940"/>
      <c r="S34" s="940"/>
      <c r="T34" s="940"/>
      <c r="U34" s="182"/>
      <c r="V34" s="182"/>
      <c r="W34" s="182"/>
      <c r="X34" s="182"/>
      <c r="Y34" s="182"/>
    </row>
    <row r="35" spans="2:25">
      <c r="B35" s="262" t="str">
        <f t="shared" si="9"/>
        <v>Time to Connect Incentive</v>
      </c>
      <c r="C35" s="264" t="s">
        <v>7</v>
      </c>
      <c r="D35" s="184">
        <f t="shared" si="8"/>
        <v>1.7399451612525535E-3</v>
      </c>
      <c r="E35" s="185">
        <f t="shared" si="8"/>
        <v>1.4871069237027716E-3</v>
      </c>
      <c r="F35" s="185">
        <f t="shared" si="8"/>
        <v>1.7988254682002778E-3</v>
      </c>
      <c r="G35" s="185">
        <f t="shared" si="8"/>
        <v>1.7919248293510137E-3</v>
      </c>
      <c r="H35" s="185">
        <f t="shared" si="8"/>
        <v>1.1525860359992398E-3</v>
      </c>
      <c r="I35" s="185">
        <f t="shared" si="8"/>
        <v>1.1530754106859116E-3</v>
      </c>
      <c r="J35" s="185">
        <f t="shared" si="8"/>
        <v>1.0839744312979088E-3</v>
      </c>
      <c r="K35" s="186">
        <f t="shared" si="8"/>
        <v>9.9856126581885567E-4</v>
      </c>
      <c r="L35" s="182"/>
      <c r="M35" s="185">
        <f>AVERAGE(D54:INDEX(D54:K54,0,MATCH('RFPR cover'!$C$7,$D$6:$K$6,0)))/AVERAGE($D$66:INDEX($D$66:$K$66,0,MATCH('RFPR cover'!$C$7,$D$6:$K$6,0)))</f>
        <v>1.7070538876368395E-3</v>
      </c>
      <c r="N35" s="185">
        <f t="shared" si="10"/>
        <v>1.3849835226824303E-3</v>
      </c>
      <c r="P35" s="940"/>
      <c r="Q35" s="940"/>
      <c r="S35" s="940"/>
      <c r="T35" s="940"/>
      <c r="U35" s="182"/>
      <c r="V35" s="182"/>
      <c r="W35" s="182"/>
      <c r="X35" s="182"/>
      <c r="Y35" s="182"/>
    </row>
    <row r="36" spans="2:25">
      <c r="B36" s="262" t="str">
        <f t="shared" si="9"/>
        <v>Losses discretionary reward scheme</v>
      </c>
      <c r="C36" s="264" t="s">
        <v>7</v>
      </c>
      <c r="D36" s="184">
        <f t="shared" si="8"/>
        <v>0</v>
      </c>
      <c r="E36" s="185">
        <f t="shared" si="8"/>
        <v>6.2429499368009503E-5</v>
      </c>
      <c r="F36" s="185">
        <f t="shared" si="8"/>
        <v>0</v>
      </c>
      <c r="G36" s="185">
        <f t="shared" si="8"/>
        <v>0</v>
      </c>
      <c r="H36" s="185">
        <f t="shared" si="8"/>
        <v>0</v>
      </c>
      <c r="I36" s="185">
        <f t="shared" si="8"/>
        <v>2.9591820586464076E-5</v>
      </c>
      <c r="J36" s="185">
        <f t="shared" si="8"/>
        <v>0</v>
      </c>
      <c r="K36" s="186">
        <f t="shared" si="8"/>
        <v>0</v>
      </c>
      <c r="L36" s="182"/>
      <c r="M36" s="185">
        <f>AVERAGE(D55:INDEX(D55:K55,0,MATCH('RFPR cover'!$C$7,$D$6:$K$6,0)))/AVERAGE($D$66:INDEX($D$66:$K$66,0,MATCH('RFPR cover'!$C$7,$D$6:$K$6,0)))</f>
        <v>1.5113516607287169E-5</v>
      </c>
      <c r="N36" s="185">
        <f t="shared" si="10"/>
        <v>1.0863684580895822E-5</v>
      </c>
      <c r="P36" s="940"/>
      <c r="Q36" s="940"/>
      <c r="S36" s="940"/>
      <c r="T36" s="940"/>
      <c r="U36" s="182"/>
      <c r="V36" s="182"/>
      <c r="W36" s="182"/>
      <c r="X36" s="182"/>
      <c r="Y36" s="182"/>
    </row>
    <row r="37" spans="2:25">
      <c r="B37" s="262" t="str">
        <f t="shared" si="9"/>
        <v xml:space="preserve">Network Innovation </v>
      </c>
      <c r="C37" s="264" t="s">
        <v>7</v>
      </c>
      <c r="D37" s="184">
        <f t="shared" si="8"/>
        <v>-7.3221142260521758E-5</v>
      </c>
      <c r="E37" s="185">
        <f t="shared" si="8"/>
        <v>1.3802117278501766E-4</v>
      </c>
      <c r="F37" s="185">
        <f t="shared" si="8"/>
        <v>4.6732060767182922E-4</v>
      </c>
      <c r="G37" s="185">
        <f t="shared" si="8"/>
        <v>-1.5641963788644742E-4</v>
      </c>
      <c r="H37" s="185">
        <f t="shared" si="8"/>
        <v>-2.4592936171348646E-4</v>
      </c>
      <c r="I37" s="185">
        <f t="shared" si="8"/>
        <v>-5.924107803306789E-4</v>
      </c>
      <c r="J37" s="185">
        <f t="shared" si="8"/>
        <v>-7.9798733882556418E-4</v>
      </c>
      <c r="K37" s="186">
        <f t="shared" si="8"/>
        <v>-5.1407925330300571E-4</v>
      </c>
      <c r="L37" s="182"/>
      <c r="M37" s="185">
        <f>AVERAGE(D56:INDEX(D56:K56,0,MATCH('RFPR cover'!$C$7,$D$6:$K$6,0)))/AVERAGE($D$66:INDEX($D$66:$K$66,0,MATCH('RFPR cover'!$C$7,$D$6:$K$6,0)))</f>
        <v>9.2594125481308763E-5</v>
      </c>
      <c r="N37" s="185">
        <f t="shared" si="10"/>
        <v>-2.3967096910077813E-4</v>
      </c>
      <c r="P37" s="940"/>
      <c r="Q37" s="940"/>
      <c r="S37" s="940"/>
      <c r="T37" s="940"/>
      <c r="U37" s="182"/>
      <c r="V37" s="182"/>
      <c r="W37" s="182"/>
      <c r="X37" s="182"/>
      <c r="Y37" s="182"/>
    </row>
    <row r="38" spans="2:25">
      <c r="B38" s="262" t="str">
        <f>B57</f>
        <v>Penalties and fines</v>
      </c>
      <c r="C38" s="264" t="s">
        <v>7</v>
      </c>
      <c r="D38" s="194">
        <f t="shared" si="8"/>
        <v>-6.8213914842516309E-5</v>
      </c>
      <c r="E38" s="195">
        <f t="shared" si="8"/>
        <v>-7.4081948553305005E-5</v>
      </c>
      <c r="F38" s="195">
        <f t="shared" si="8"/>
        <v>-6.8376028217879636E-5</v>
      </c>
      <c r="G38" s="195">
        <f t="shared" si="8"/>
        <v>-9.2422843425399092E-5</v>
      </c>
      <c r="H38" s="195">
        <f t="shared" si="8"/>
        <v>-6.8178969021995522E-5</v>
      </c>
      <c r="I38" s="195">
        <f t="shared" si="8"/>
        <v>-6.8004926414227308E-5</v>
      </c>
      <c r="J38" s="195">
        <f t="shared" si="8"/>
        <v>-6.2052470834863348E-5</v>
      </c>
      <c r="K38" s="196">
        <f t="shared" si="8"/>
        <v>-5.5457643698792817E-5</v>
      </c>
      <c r="L38" s="182"/>
      <c r="M38" s="195">
        <f>AVERAGE(D57:INDEX(D57:K57,0,MATCH('RFPR cover'!$C$7,$D$6:$K$6,0)))/AVERAGE($D$66:INDEX($D$66:$K$66,0,MATCH('RFPR cover'!$C$7,$D$6:$K$6,0)))</f>
        <v>-7.5952126653295985E-5</v>
      </c>
      <c r="N38" s="195">
        <f t="shared" si="10"/>
        <v>-6.9214338549960491E-5</v>
      </c>
      <c r="P38" s="940"/>
      <c r="Q38" s="940"/>
      <c r="S38" s="940"/>
      <c r="T38" s="940"/>
      <c r="U38" s="182"/>
      <c r="V38" s="182"/>
      <c r="W38" s="182"/>
      <c r="X38" s="182"/>
      <c r="Y38" s="182"/>
    </row>
    <row r="39" spans="2:25">
      <c r="B39" s="263" t="str">
        <f>B58</f>
        <v>RoRE - Operational performance</v>
      </c>
      <c r="C39" s="264" t="s">
        <v>7</v>
      </c>
      <c r="D39" s="197">
        <f t="shared" ref="D39:K39" si="11">SUM(D29:D38)</f>
        <v>7.9876964805144307E-2</v>
      </c>
      <c r="E39" s="198">
        <f t="shared" si="11"/>
        <v>6.117198880449301E-2</v>
      </c>
      <c r="F39" s="198">
        <f t="shared" si="11"/>
        <v>4.562468415797831E-2</v>
      </c>
      <c r="G39" s="198">
        <f t="shared" si="11"/>
        <v>0.10747300057950677</v>
      </c>
      <c r="H39" s="198">
        <f t="shared" si="11"/>
        <v>7.8477985525632413E-2</v>
      </c>
      <c r="I39" s="198">
        <f t="shared" si="11"/>
        <v>8.7100692752850123E-2</v>
      </c>
      <c r="J39" s="198">
        <f t="shared" si="11"/>
        <v>8.8913389660043057E-2</v>
      </c>
      <c r="K39" s="199">
        <f t="shared" si="11"/>
        <v>8.8512478405289419E-2</v>
      </c>
      <c r="L39" s="183"/>
      <c r="M39" s="198">
        <f>SUM(M29:M38)</f>
        <v>7.3870135075196741E-2</v>
      </c>
      <c r="N39" s="198">
        <f>SUM(N29:N38)</f>
        <v>8.0182019566789567E-2</v>
      </c>
      <c r="P39" s="940"/>
      <c r="Q39" s="940"/>
      <c r="S39" s="940"/>
      <c r="T39" s="940"/>
      <c r="U39" s="182"/>
      <c r="V39" s="182"/>
      <c r="W39" s="182"/>
      <c r="X39" s="182"/>
      <c r="Y39" s="182"/>
    </row>
    <row r="40" spans="2:25">
      <c r="B40" s="262" t="s">
        <v>460</v>
      </c>
      <c r="C40" s="264" t="s">
        <v>7</v>
      </c>
      <c r="D40" s="184">
        <f>(D59+D60)/D$66</f>
        <v>-4.0642171817733995E-3</v>
      </c>
      <c r="E40" s="185">
        <f t="shared" ref="E40:K40" si="12">(E59+E60)/E$66</f>
        <v>1.206260797025533E-3</v>
      </c>
      <c r="F40" s="185">
        <f t="shared" si="12"/>
        <v>1.6118361206485719E-2</v>
      </c>
      <c r="G40" s="185">
        <f t="shared" si="12"/>
        <v>1.0876913783550893E-2</v>
      </c>
      <c r="H40" s="185">
        <f t="shared" si="12"/>
        <v>4.2518588967339487E-4</v>
      </c>
      <c r="I40" s="185">
        <f t="shared" si="12"/>
        <v>-4.0497472797214528E-3</v>
      </c>
      <c r="J40" s="185">
        <f t="shared" si="12"/>
        <v>-2.8537636910174087E-3</v>
      </c>
      <c r="K40" s="186">
        <f t="shared" si="12"/>
        <v>-3.7931323613082444E-3</v>
      </c>
      <c r="L40" s="182"/>
      <c r="M40" s="185">
        <f>(AVERAGE(D59:INDEX(D59:K59,0,MATCH('RFPR cover'!$C$7,$D$6:$K$6,0)))+AVERAGE(D60:INDEX(D60:K60,0,MATCH('RFPR cover'!$C$7,$D$6:$K$6,0))))/AVERAGE($D$66:INDEX($D$66:$K$66,0,MATCH('RFPR cover'!$C$7,$D$6:$K$6,0)))</f>
        <v>6.1727143359230716E-3</v>
      </c>
      <c r="N40" s="185">
        <f>(AVERAGE(D59:K59)+AVERAGE(D60:K60))/AVERAGE($D$66:$K$66)</f>
        <v>1.5607746439635166E-3</v>
      </c>
      <c r="P40" s="940"/>
      <c r="Q40" s="940"/>
      <c r="S40" s="940"/>
      <c r="T40" s="940"/>
      <c r="U40" s="182"/>
      <c r="V40" s="182"/>
      <c r="W40" s="182"/>
      <c r="X40" s="182"/>
      <c r="Y40" s="182"/>
    </row>
    <row r="41" spans="2:25">
      <c r="B41" s="262" t="s">
        <v>461</v>
      </c>
      <c r="C41" s="264" t="s">
        <v>7</v>
      </c>
      <c r="D41" s="184">
        <f>(D61+D62)/D$66</f>
        <v>1.0354254309561582E-4</v>
      </c>
      <c r="E41" s="185">
        <f t="shared" ref="E41:K41" si="13">(E61+E62)/E$66</f>
        <v>1.2030054833229378E-2</v>
      </c>
      <c r="F41" s="185">
        <f t="shared" si="13"/>
        <v>-6.5212708265171837E-3</v>
      </c>
      <c r="G41" s="185">
        <f t="shared" si="13"/>
        <v>-1.7246897091718704E-4</v>
      </c>
      <c r="H41" s="185">
        <f t="shared" si="13"/>
        <v>-3.7830529219870387E-3</v>
      </c>
      <c r="I41" s="185">
        <f t="shared" si="13"/>
        <v>-1.5471114717795424E-3</v>
      </c>
      <c r="J41" s="185">
        <f t="shared" si="13"/>
        <v>3.0606983169125732E-3</v>
      </c>
      <c r="K41" s="186">
        <f t="shared" si="13"/>
        <v>2.8589816425908625E-3</v>
      </c>
      <c r="L41" s="182"/>
      <c r="M41" s="185">
        <f>(AVERAGE(D61:INDEX(D61:K61,0,MATCH('RFPR cover'!$C$7,$D$6:$K$6,0)))+AVERAGE(D62:INDEX(D62:K62,0,MATCH('RFPR cover'!$C$7,$D$6:$K$6,0))))/AVERAGE($D$66:INDEX($D$66:$K$66,0,MATCH('RFPR cover'!$C$7,$D$6:$K$6,0)))</f>
        <v>1.2494345941223247E-3</v>
      </c>
      <c r="N41" s="185">
        <f>(AVERAGE(D61:K61)+AVERAGE(D62:K62))/AVERAGE($D$66:$K$66)</f>
        <v>7.4625142455497686E-4</v>
      </c>
      <c r="P41" s="940"/>
      <c r="Q41" s="940"/>
      <c r="S41" s="940"/>
      <c r="T41" s="940"/>
      <c r="U41" s="182"/>
      <c r="V41" s="182"/>
      <c r="W41" s="182"/>
      <c r="X41" s="182"/>
      <c r="Y41" s="182"/>
    </row>
    <row r="42" spans="2:25">
      <c r="B42" s="263" t="str">
        <f>B63</f>
        <v>RoRE - including financing and tax</v>
      </c>
      <c r="C42" s="264" t="s">
        <v>7</v>
      </c>
      <c r="D42" s="200">
        <f>SUM(D39:D41)</f>
        <v>7.5916290166466532E-2</v>
      </c>
      <c r="E42" s="201">
        <f t="shared" ref="E42:K42" si="14">SUM(E39:E41)</f>
        <v>7.4408304434747913E-2</v>
      </c>
      <c r="F42" s="201">
        <f t="shared" si="14"/>
        <v>5.5221774537946841E-2</v>
      </c>
      <c r="G42" s="201">
        <f t="shared" si="14"/>
        <v>0.11817744539214048</v>
      </c>
      <c r="H42" s="201">
        <f t="shared" si="14"/>
        <v>7.5120118493318774E-2</v>
      </c>
      <c r="I42" s="201">
        <f t="shared" si="14"/>
        <v>8.150383400134914E-2</v>
      </c>
      <c r="J42" s="201">
        <f t="shared" si="14"/>
        <v>8.9120324285938218E-2</v>
      </c>
      <c r="K42" s="202">
        <f t="shared" si="14"/>
        <v>8.7578327686572047E-2</v>
      </c>
      <c r="L42" s="183"/>
      <c r="M42" s="201">
        <f>SUM(M39:M41)</f>
        <v>8.1292284005242146E-2</v>
      </c>
      <c r="N42" s="201">
        <f>SUM(N39:N41)</f>
        <v>8.2489045635308067E-2</v>
      </c>
      <c r="P42" s="940"/>
      <c r="Q42" s="940"/>
      <c r="S42" s="940"/>
      <c r="T42" s="940"/>
      <c r="U42" s="182"/>
      <c r="V42" s="182"/>
      <c r="W42" s="182"/>
      <c r="X42" s="182"/>
      <c r="Y42" s="182"/>
    </row>
    <row r="43" spans="2:25" s="32" customFormat="1">
      <c r="B43" s="496"/>
      <c r="C43" s="497"/>
      <c r="D43" s="498"/>
      <c r="E43" s="498"/>
      <c r="F43" s="498"/>
      <c r="G43" s="498"/>
      <c r="H43" s="498"/>
      <c r="I43" s="498"/>
      <c r="J43" s="498"/>
      <c r="K43" s="498"/>
      <c r="L43" s="499"/>
      <c r="M43" s="498"/>
      <c r="N43" s="498"/>
      <c r="Q43"/>
      <c r="R43"/>
      <c r="U43" s="182"/>
      <c r="V43" s="182"/>
      <c r="W43" s="182"/>
      <c r="X43" s="182"/>
      <c r="Y43" s="182"/>
    </row>
    <row r="44" spans="2:25" s="32" customFormat="1">
      <c r="B44" s="496"/>
      <c r="C44" s="497"/>
      <c r="D44" s="498"/>
      <c r="E44" s="498"/>
      <c r="F44" s="498"/>
      <c r="G44" s="498"/>
      <c r="H44" s="498"/>
      <c r="I44" s="498"/>
      <c r="J44" s="498"/>
      <c r="K44" s="498"/>
      <c r="L44" s="499"/>
      <c r="M44" s="498"/>
      <c r="N44" s="498"/>
      <c r="Q44"/>
      <c r="R44"/>
      <c r="U44" s="182"/>
      <c r="V44" s="182"/>
      <c r="W44" s="182"/>
      <c r="X44" s="182"/>
      <c r="Y44" s="182"/>
    </row>
    <row r="45" spans="2:25" s="32" customFormat="1">
      <c r="B45" s="550" t="s">
        <v>396</v>
      </c>
      <c r="C45" s="551"/>
      <c r="D45" s="552"/>
      <c r="E45" s="552"/>
      <c r="F45" s="552"/>
      <c r="G45" s="552"/>
      <c r="H45" s="552"/>
      <c r="I45" s="552"/>
      <c r="J45" s="552"/>
      <c r="K45" s="552"/>
      <c r="L45" s="553"/>
      <c r="M45" s="552"/>
      <c r="N45" s="552"/>
      <c r="O45" s="227"/>
      <c r="Q45"/>
      <c r="R45"/>
      <c r="U45" s="182"/>
      <c r="V45" s="182"/>
      <c r="W45" s="182"/>
      <c r="X45" s="182"/>
      <c r="Y45" s="182"/>
    </row>
    <row r="46" spans="2:25" s="32" customFormat="1">
      <c r="B46" s="555" t="str">
        <f>"Input values provided in "&amp;'RFPR cover'!C14&amp;" prices"</f>
        <v>Input values provided in £m 12/13 prices</v>
      </c>
      <c r="C46" s="554"/>
      <c r="D46" s="554"/>
      <c r="E46" s="554"/>
      <c r="F46" s="554"/>
      <c r="G46" s="554"/>
      <c r="H46" s="554"/>
      <c r="I46" s="554"/>
      <c r="J46" s="554"/>
      <c r="K46" s="554"/>
      <c r="L46" s="554"/>
      <c r="M46" s="554"/>
      <c r="N46" s="554"/>
      <c r="O46" s="554"/>
      <c r="Q46"/>
      <c r="R46"/>
      <c r="U46" s="182"/>
      <c r="V46" s="182"/>
      <c r="W46" s="182"/>
      <c r="X46" s="182"/>
      <c r="Y46" s="182"/>
    </row>
    <row r="47" spans="2:25">
      <c r="U47" s="544"/>
      <c r="V47" s="544"/>
      <c r="W47" s="544"/>
      <c r="X47" s="544"/>
      <c r="Y47" s="544"/>
    </row>
    <row r="48" spans="2:25">
      <c r="B48" s="257" t="s">
        <v>228</v>
      </c>
      <c r="C48" s="360" t="str">
        <f>'RFPR cover'!$C$14</f>
        <v>£m 12/13</v>
      </c>
      <c r="D48" s="187">
        <f>'R9 - RAV'!D50</f>
        <v>27.156807203709068</v>
      </c>
      <c r="E48" s="188">
        <f>'R9 - RAV'!E50</f>
        <v>28.505821295164697</v>
      </c>
      <c r="F48" s="188">
        <f>'R9 - RAV'!F50</f>
        <v>29.711755907564346</v>
      </c>
      <c r="G48" s="188">
        <f>'R9 - RAV'!G50</f>
        <v>30.773774376226449</v>
      </c>
      <c r="H48" s="188">
        <f>'R9 - RAV'!H50</f>
        <v>31.895556092779202</v>
      </c>
      <c r="I48" s="188">
        <f>'R9 - RAV'!I50</f>
        <v>33.049409914975577</v>
      </c>
      <c r="J48" s="188">
        <f>'R9 - RAV'!J50</f>
        <v>34.287730788956949</v>
      </c>
      <c r="K48" s="189">
        <f>'R9 - RAV'!K50</f>
        <v>35.681627136863227</v>
      </c>
      <c r="M48" s="97">
        <f>SUM(D48:INDEX(D48:K48,0,MATCH('RFPR cover'!$C$7,$D$6:$K$6,0)))</f>
        <v>116.14815878266455</v>
      </c>
      <c r="N48" s="97">
        <f>SUM(D48:K48)</f>
        <v>251.06248271623949</v>
      </c>
      <c r="U48" s="544"/>
      <c r="V48" s="544"/>
      <c r="W48" s="544"/>
      <c r="X48" s="544"/>
      <c r="Y48" s="544"/>
    </row>
    <row r="49" spans="2:25">
      <c r="B49" s="257" t="s">
        <v>102</v>
      </c>
      <c r="C49" s="360" t="str">
        <f>'RFPR cover'!$C$14</f>
        <v>£m 12/13</v>
      </c>
      <c r="D49" s="261">
        <f>'R4 - Totex'!D35+'R4 - Totex'!D63</f>
        <v>2.9758938185421524</v>
      </c>
      <c r="E49" s="261">
        <f>'R4 - Totex'!E35+'R4 - Totex'!E63</f>
        <v>-7.7156143889905948</v>
      </c>
      <c r="F49" s="261">
        <f>'R4 - Totex'!F35+'R4 - Totex'!F63</f>
        <v>-13.327970910579939</v>
      </c>
      <c r="G49" s="261">
        <f>'R4 - Totex'!G35+'R4 - Totex'!G63</f>
        <v>17.786984944141867</v>
      </c>
      <c r="H49" s="261">
        <f>'R4 - Totex'!H35+'R4 - Totex'!H63</f>
        <v>2.4889226950855523</v>
      </c>
      <c r="I49" s="261">
        <f>'R4 - Totex'!I35+'R4 - Totex'!I63</f>
        <v>6.3498027200790164</v>
      </c>
      <c r="J49" s="261">
        <f>'R4 - Totex'!J35+'R4 - Totex'!J63</f>
        <v>9.6042274447040903</v>
      </c>
      <c r="K49" s="261">
        <f>'R4 - Totex'!K35+'R4 - Totex'!K63</f>
        <v>12.272087466479736</v>
      </c>
      <c r="M49" s="97">
        <f>SUM(D49:INDEX(D49:K49,0,MATCH('RFPR cover'!$C$7,$D$6:$K$6,0)))</f>
        <v>-0.28070653688651603</v>
      </c>
      <c r="N49" s="97">
        <f>SUM(D49:K49)</f>
        <v>30.434333789461878</v>
      </c>
      <c r="U49" s="544"/>
      <c r="V49" s="544"/>
      <c r="W49" s="544"/>
      <c r="X49" s="544"/>
      <c r="Y49" s="544"/>
    </row>
    <row r="50" spans="2:25">
      <c r="B50" s="259" t="s">
        <v>110</v>
      </c>
      <c r="C50" s="360" t="str">
        <f>'RFPR cover'!$C$14</f>
        <v>£m 12/13</v>
      </c>
      <c r="D50" s="252">
        <f>'R4 - Totex'!D79</f>
        <v>4.3010161569366776</v>
      </c>
      <c r="E50" s="190">
        <f>'R4 - Totex'!E79</f>
        <v>4.3020775808672473</v>
      </c>
      <c r="F50" s="190">
        <f>'R4 - Totex'!F79</f>
        <v>4.2620663269464218</v>
      </c>
      <c r="G50" s="190">
        <f>'R4 - Totex'!G79</f>
        <v>4.3422878363445587</v>
      </c>
      <c r="H50" s="190">
        <f>'R4 - Totex'!H79</f>
        <v>4.2658842965272852</v>
      </c>
      <c r="I50" s="190">
        <f>'R4 - Totex'!I79</f>
        <v>4.4215078595136799</v>
      </c>
      <c r="J50" s="190">
        <f>'R4 - Totex'!J79</f>
        <v>4.4175334025478987</v>
      </c>
      <c r="K50" s="191">
        <f>'R4 - Totex'!K79</f>
        <v>4.6230901019405968</v>
      </c>
      <c r="M50" s="97">
        <f>SUM(D50:INDEX(D50:K50,0,MATCH('RFPR cover'!$C$7,$D$6:$K$6,0)))</f>
        <v>17.207447901094902</v>
      </c>
      <c r="N50" s="97">
        <f t="shared" ref="N50:N57" si="15">SUM(D50:K50)</f>
        <v>34.93546356162436</v>
      </c>
      <c r="U50" s="544"/>
      <c r="V50" s="544"/>
      <c r="W50" s="544"/>
      <c r="X50" s="544"/>
      <c r="Y50" s="544"/>
    </row>
    <row r="51" spans="2:25">
      <c r="B51" s="260" t="str">
        <f>'R5 - Output Incentives'!B39</f>
        <v>Broad measure of customer service</v>
      </c>
      <c r="C51" s="360" t="str">
        <f>'RFPR cover'!$C$14</f>
        <v>£m 12/13</v>
      </c>
      <c r="D51" s="252">
        <f>'R5 - Output Incentives'!D39</f>
        <v>3.0445960300009767</v>
      </c>
      <c r="E51" s="190">
        <f>'R5 - Output Incentives'!E39</f>
        <v>3.0836700000000006</v>
      </c>
      <c r="F51" s="190">
        <f>'R5 - Output Incentives'!F39</f>
        <v>3.1118058341271873</v>
      </c>
      <c r="G51" s="190">
        <f>'R5 - Output Incentives'!G39</f>
        <v>3.238494000000002</v>
      </c>
      <c r="H51" s="190">
        <f>'R5 - Output Incentives'!H39</f>
        <v>3.2025826666666699</v>
      </c>
      <c r="I51" s="190">
        <f>'R5 - Output Incentives'!I39</f>
        <v>3.2025826666666699</v>
      </c>
      <c r="J51" s="190">
        <f>'R5 - Output Incentives'!J39</f>
        <v>3.2025826666666699</v>
      </c>
      <c r="K51" s="191">
        <f>'R5 - Output Incentives'!K39</f>
        <v>3.2025826666666699</v>
      </c>
      <c r="M51" s="97">
        <f>SUM(D51:INDEX(D51:K51,0,MATCH('RFPR cover'!$C$7,$D$6:$K$6,0)))</f>
        <v>12.478565864128168</v>
      </c>
      <c r="N51" s="97">
        <f t="shared" si="15"/>
        <v>25.288896530794851</v>
      </c>
      <c r="U51" s="544"/>
      <c r="V51" s="544"/>
      <c r="W51" s="544"/>
      <c r="X51" s="544"/>
      <c r="Y51" s="544"/>
    </row>
    <row r="52" spans="2:25">
      <c r="B52" s="260" t="str">
        <f>'R5 - Output Incentives'!B40</f>
        <v>Interruptions-related quality of service</v>
      </c>
      <c r="C52" s="360" t="str">
        <f>'RFPR cover'!$C$14</f>
        <v>£m 12/13</v>
      </c>
      <c r="D52" s="252">
        <f>'R5 - Output Incentives'!D40</f>
        <v>3.9005771758875172</v>
      </c>
      <c r="E52" s="190">
        <f>'R5 - Output Incentives'!E40</f>
        <v>2.7340455262184005</v>
      </c>
      <c r="F52" s="190">
        <f>'R5 - Output Incentives'!F40</f>
        <v>-0.29181165973570838</v>
      </c>
      <c r="G52" s="190">
        <f>'R5 - Output Incentives'!G40</f>
        <v>2.7371555555555545</v>
      </c>
      <c r="H52" s="190">
        <f>'R5 - Output Incentives'!H40</f>
        <v>1.718656825087316</v>
      </c>
      <c r="I52" s="190">
        <f>'R5 - Output Incentives'!I40</f>
        <v>1.5442434076153306</v>
      </c>
      <c r="J52" s="190">
        <f>'R5 - Output Incentives'!J40</f>
        <v>1.4112434076153333</v>
      </c>
      <c r="K52" s="191">
        <f>'R5 - Output Incentives'!K40</f>
        <v>1.2782434076153324</v>
      </c>
      <c r="M52" s="97">
        <f>SUM(D52:INDEX(D52:K52,0,MATCH('RFPR cover'!$C$7,$D$6:$K$6,0)))</f>
        <v>9.0799665979257629</v>
      </c>
      <c r="N52" s="97">
        <f t="shared" si="15"/>
        <v>15.032353645859075</v>
      </c>
      <c r="U52" s="544"/>
      <c r="V52" s="544"/>
      <c r="W52" s="544"/>
      <c r="X52" s="544"/>
      <c r="Y52" s="544"/>
    </row>
    <row r="53" spans="2:25">
      <c r="B53" s="260" t="str">
        <f>'R5 - Output Incentives'!B41</f>
        <v>Incentive on connections engagement</v>
      </c>
      <c r="C53" s="360" t="str">
        <f>'RFPR cover'!$C$14</f>
        <v>£m 12/13</v>
      </c>
      <c r="D53" s="252">
        <f>'R5 - Output Incentives'!D41</f>
        <v>0</v>
      </c>
      <c r="E53" s="190">
        <f>'R5 - Output Incentives'!E41</f>
        <v>0</v>
      </c>
      <c r="F53" s="190">
        <f>'R5 - Output Incentives'!F41</f>
        <v>0</v>
      </c>
      <c r="G53" s="190">
        <f>'R5 - Output Incentives'!G41</f>
        <v>0</v>
      </c>
      <c r="H53" s="190">
        <f>'R5 - Output Incentives'!H41</f>
        <v>0</v>
      </c>
      <c r="I53" s="190">
        <f>'R5 - Output Incentives'!I41</f>
        <v>0</v>
      </c>
      <c r="J53" s="190">
        <f>'R5 - Output Incentives'!J41</f>
        <v>0</v>
      </c>
      <c r="K53" s="191">
        <f>'R5 - Output Incentives'!K41</f>
        <v>0</v>
      </c>
      <c r="M53" s="97">
        <f>SUM(D53:INDEX(D53:K53,0,MATCH('RFPR cover'!$C$7,$D$6:$K$6,0)))</f>
        <v>0</v>
      </c>
      <c r="N53" s="97">
        <f t="shared" si="15"/>
        <v>0</v>
      </c>
      <c r="U53" s="544"/>
      <c r="V53" s="544"/>
      <c r="W53" s="544"/>
      <c r="X53" s="544"/>
      <c r="Y53" s="544"/>
    </row>
    <row r="54" spans="2:25">
      <c r="B54" s="260" t="str">
        <f>'R5 - Output Incentives'!B42</f>
        <v>Time to Connect Incentive</v>
      </c>
      <c r="C54" s="360" t="str">
        <f>'RFPR cover'!$C$14</f>
        <v>£m 12/13</v>
      </c>
      <c r="D54" s="252">
        <f>'R5 - Output Incentives'!D42</f>
        <v>0.91975500000000021</v>
      </c>
      <c r="E54" s="190">
        <f>'R5 - Output Incentives'!E42</f>
        <v>0.77178681257629389</v>
      </c>
      <c r="F54" s="190">
        <f>'R5 - Output Incentives'!F42</f>
        <v>0.97199999999999998</v>
      </c>
      <c r="G54" s="190">
        <f>'R5 - Output Incentives'!G42</f>
        <v>0.99599999999999989</v>
      </c>
      <c r="H54" s="190">
        <f>'R5 - Output Incentives'!H42</f>
        <v>0.64683589715131129</v>
      </c>
      <c r="I54" s="190">
        <f>'R5 - Output Incentives'!I42</f>
        <v>0.64683589715131129</v>
      </c>
      <c r="J54" s="190">
        <f>'R5 - Output Incentives'!J42</f>
        <v>0.64683589715131129</v>
      </c>
      <c r="K54" s="191">
        <f>'R5 - Output Incentives'!K42</f>
        <v>0.64683589715131129</v>
      </c>
      <c r="M54" s="97">
        <f>SUM(D54:INDEX(D54:K54,0,MATCH('RFPR cover'!$C$7,$D$6:$K$6,0)))</f>
        <v>3.6595418125762942</v>
      </c>
      <c r="N54" s="97">
        <f t="shared" si="15"/>
        <v>6.2468854011815385</v>
      </c>
      <c r="U54" s="544"/>
      <c r="V54" s="544"/>
      <c r="W54" s="544"/>
      <c r="X54" s="544"/>
      <c r="Y54" s="544"/>
    </row>
    <row r="55" spans="2:25">
      <c r="B55" s="260" t="str">
        <f>'R5 - Output Incentives'!B43</f>
        <v>Losses discretionary reward scheme</v>
      </c>
      <c r="C55" s="360" t="str">
        <f>'RFPR cover'!$C$14</f>
        <v>£m 12/13</v>
      </c>
      <c r="D55" s="252">
        <f>'R5 - Output Incentives'!D43</f>
        <v>0</v>
      </c>
      <c r="E55" s="190">
        <f>'R5 - Output Incentives'!E43</f>
        <v>3.2400000000000005E-2</v>
      </c>
      <c r="F55" s="190">
        <f>'R5 - Output Incentives'!F43</f>
        <v>0</v>
      </c>
      <c r="G55" s="190">
        <f>'R5 - Output Incentives'!G43</f>
        <v>0</v>
      </c>
      <c r="H55" s="190">
        <f>'R5 - Output Incentives'!H43</f>
        <v>0</v>
      </c>
      <c r="I55" s="190">
        <f>'R5 - Output Incentives'!I43</f>
        <v>1.66E-2</v>
      </c>
      <c r="J55" s="190">
        <f>'R5 - Output Incentives'!J43</f>
        <v>0</v>
      </c>
      <c r="K55" s="191">
        <f>'R5 - Output Incentives'!K43</f>
        <v>0</v>
      </c>
      <c r="M55" s="97">
        <f>SUM(D55:INDEX(D55:K55,0,MATCH('RFPR cover'!$C$7,$D$6:$K$6,0)))</f>
        <v>3.2400000000000005E-2</v>
      </c>
      <c r="N55" s="97">
        <f t="shared" si="15"/>
        <v>4.9000000000000002E-2</v>
      </c>
      <c r="U55" s="544"/>
      <c r="V55" s="544"/>
      <c r="W55" s="544"/>
      <c r="X55" s="544"/>
      <c r="Y55" s="544"/>
    </row>
    <row r="56" spans="2:25">
      <c r="B56" s="257" t="s">
        <v>502</v>
      </c>
      <c r="C56" s="360" t="str">
        <f>'RFPR cover'!$C$14</f>
        <v>£m 12/13</v>
      </c>
      <c r="D56" s="252">
        <f>-'R6 - Innovation'!D28</f>
        <v>-3.8705536932753359E-2</v>
      </c>
      <c r="E56" s="190">
        <f>-'R6 - Innovation'!E28</f>
        <v>7.1630976437496205E-2</v>
      </c>
      <c r="F56" s="190">
        <f>-'R6 - Innovation'!F28</f>
        <v>0.25251790053399681</v>
      </c>
      <c r="G56" s="190">
        <f>-'R6 - Innovation'!G28</f>
        <v>-8.6942240423849668E-2</v>
      </c>
      <c r="H56" s="190">
        <f>-'R6 - Innovation'!H28</f>
        <v>-0.13801654223745713</v>
      </c>
      <c r="I56" s="190">
        <f>-'R6 - Innovation'!I28</f>
        <v>-0.3323222011553949</v>
      </c>
      <c r="J56" s="190">
        <f>-'R6 - Innovation'!J28</f>
        <v>-0.47617991838293011</v>
      </c>
      <c r="K56" s="191">
        <f>-'R6 - Innovation'!K28</f>
        <v>-0.33300401928212553</v>
      </c>
      <c r="M56" s="97">
        <f>SUM(D56:INDEX(D56:K56,0,MATCH('RFPR cover'!$C$7,$D$6:$K$6,0)))</f>
        <v>0.19850109961488999</v>
      </c>
      <c r="N56" s="97">
        <f t="shared" si="15"/>
        <v>-1.0810215814430177</v>
      </c>
      <c r="U56" s="544"/>
      <c r="V56" s="544"/>
      <c r="W56" s="544"/>
      <c r="X56" s="544"/>
      <c r="Y56" s="544"/>
    </row>
    <row r="57" spans="2:25">
      <c r="B57" s="257" t="s">
        <v>35</v>
      </c>
      <c r="C57" s="360" t="str">
        <f>'RFPR cover'!$C$14</f>
        <v>£m 12/13</v>
      </c>
      <c r="D57" s="253">
        <f>-'R13 - Other Activities '!D8</f>
        <v>-3.6058658998662466E-2</v>
      </c>
      <c r="E57" s="253">
        <f>-'R13 - Other Activities '!E8</f>
        <v>-3.8447451243811125E-2</v>
      </c>
      <c r="F57" s="253">
        <f>-'R13 - Other Activities '!F8</f>
        <v>-3.6947163914836961E-2</v>
      </c>
      <c r="G57" s="253">
        <f>-'R13 - Other Activities '!G8</f>
        <v>-5.1371101367592875E-2</v>
      </c>
      <c r="H57" s="253">
        <f>-'R13 - Other Activities '!H8</f>
        <v>-3.8262310332400233E-2</v>
      </c>
      <c r="I57" s="253">
        <f>-'R13 - Other Activities '!I8</f>
        <v>-3.8148439538476644E-2</v>
      </c>
      <c r="J57" s="253">
        <f>-'R13 - Other Activities '!J8</f>
        <v>-3.7028332480928558E-2</v>
      </c>
      <c r="K57" s="253">
        <f>-'R13 - Other Activities '!K8</f>
        <v>-3.5923679341187051E-2</v>
      </c>
      <c r="M57" s="97">
        <f>SUM(D57:INDEX(D57:K57,0,MATCH('RFPR cover'!$C$7,$D$6:$K$6,0)))</f>
        <v>-0.16282437552490342</v>
      </c>
      <c r="N57" s="97">
        <f t="shared" si="15"/>
        <v>-0.31218713721789593</v>
      </c>
      <c r="U57" s="544"/>
      <c r="V57" s="544"/>
      <c r="W57" s="544"/>
      <c r="X57" s="544"/>
      <c r="Y57" s="544"/>
    </row>
    <row r="58" spans="2:25">
      <c r="B58" s="258" t="s">
        <v>103</v>
      </c>
      <c r="C58" s="360" t="str">
        <f>'RFPR cover'!$C$14</f>
        <v>£m 12/13</v>
      </c>
      <c r="D58" s="254">
        <f t="shared" ref="D58:K58" si="16">SUM(D48:D57)</f>
        <v>42.223881189144976</v>
      </c>
      <c r="E58" s="151">
        <f t="shared" si="16"/>
        <v>31.747370351029733</v>
      </c>
      <c r="F58" s="151">
        <f t="shared" si="16"/>
        <v>24.653416234941467</v>
      </c>
      <c r="G58" s="151">
        <f t="shared" si="16"/>
        <v>59.736383370476993</v>
      </c>
      <c r="H58" s="151">
        <f t="shared" si="16"/>
        <v>44.042159620727475</v>
      </c>
      <c r="I58" s="151">
        <f t="shared" si="16"/>
        <v>48.860511825307725</v>
      </c>
      <c r="J58" s="151">
        <f t="shared" si="16"/>
        <v>53.056945356778392</v>
      </c>
      <c r="K58" s="152">
        <f t="shared" si="16"/>
        <v>57.33553897809356</v>
      </c>
      <c r="M58" s="150">
        <f>SUM(M48:M57)</f>
        <v>158.36105114559317</v>
      </c>
      <c r="N58" s="152">
        <f>SUM(N48:N57)</f>
        <v>361.65620692650026</v>
      </c>
      <c r="U58" s="544"/>
      <c r="V58" s="544"/>
      <c r="W58" s="544"/>
      <c r="X58" s="544"/>
      <c r="Y58" s="544"/>
    </row>
    <row r="59" spans="2:25">
      <c r="B59" s="257" t="s">
        <v>441</v>
      </c>
      <c r="C59" s="360" t="str">
        <f>'RFPR cover'!$C$14</f>
        <v>£m 12/13</v>
      </c>
      <c r="D59" s="252">
        <f>'R7 - Financing'!D87+'R10 - Tax'!D89</f>
        <v>-4.9279931299837028</v>
      </c>
      <c r="E59" s="252">
        <f>'R7 - Financing'!E87+'R10 - Tax'!E89</f>
        <v>-0.85063764904650796</v>
      </c>
      <c r="F59" s="252">
        <f>'R7 - Financing'!F87+'R10 - Tax'!F89</f>
        <v>8.0518097049924773</v>
      </c>
      <c r="G59" s="252">
        <f>'R7 - Financing'!G87+'R10 - Tax'!G89</f>
        <v>5.3334243113905115</v>
      </c>
      <c r="H59" s="252">
        <f>'R7 - Financing'!H87+'R10 - Tax'!H89</f>
        <v>-0.60675131428301243</v>
      </c>
      <c r="I59" s="252">
        <f>'R7 - Financing'!I87+'R10 - Tax'!I89</f>
        <v>-2.8247549144798967</v>
      </c>
      <c r="J59" s="252">
        <f>'R7 - Financing'!J87+'R10 - Tax'!J89</f>
        <v>-2.3101493500065411</v>
      </c>
      <c r="K59" s="252">
        <f>'R7 - Financing'!K87+'R10 - Tax'!K89</f>
        <v>-3.2824451861559796</v>
      </c>
      <c r="M59" s="97">
        <f>SUM(D59:INDEX(D59:K59,0,MATCH('RFPR cover'!$C$7,$D$6:$K$6,0)))</f>
        <v>7.6066032373527781</v>
      </c>
      <c r="N59" s="97">
        <f>SUM(D59:K59)</f>
        <v>-1.4174975275726514</v>
      </c>
      <c r="U59" s="544"/>
      <c r="V59" s="544"/>
      <c r="W59" s="544"/>
      <c r="X59" s="544"/>
      <c r="Y59" s="544"/>
    </row>
    <row r="60" spans="2:25">
      <c r="B60" s="257" t="s">
        <v>436</v>
      </c>
      <c r="C60" s="360" t="str">
        <f>'RFPR cover'!$C$14</f>
        <v>£m 12/13</v>
      </c>
      <c r="D60" s="252">
        <f>'R7 - Financing'!D89+'R10 - Tax'!D90</f>
        <v>2.7796012396720462</v>
      </c>
      <c r="E60" s="252">
        <f>'R7 - Financing'!E89+'R10 - Tax'!E90</f>
        <v>1.4766694163884442</v>
      </c>
      <c r="F60" s="252">
        <f>'R7 - Financing'!F89+'R10 - Tax'!F90</f>
        <v>0.65778851321541554</v>
      </c>
      <c r="G60" s="252">
        <f>'R7 - Financing'!G89+'R10 - Tax'!G90</f>
        <v>0.71225681929634477</v>
      </c>
      <c r="H60" s="252">
        <f>'R7 - Financing'!H89+'R10 - Tax'!H90</f>
        <v>0.8453673375671521</v>
      </c>
      <c r="I60" s="252">
        <f>'R7 - Financing'!I89+'R10 - Tax'!I90</f>
        <v>0.55298509731201961</v>
      </c>
      <c r="J60" s="252">
        <f>'R7 - Financing'!J89+'R10 - Tax'!J90</f>
        <v>0.60723390842471869</v>
      </c>
      <c r="K60" s="252">
        <f>'R7 - Financing'!K89+'R10 - Tax'!K90</f>
        <v>0.82537594270950443</v>
      </c>
      <c r="M60" s="97">
        <f>SUM(D60:INDEX(D60:K60,0,MATCH('RFPR cover'!$C$7,$D$6:$K$6,0)))</f>
        <v>5.6263159885722498</v>
      </c>
      <c r="N60" s="97">
        <f>SUM(D60:K60)</f>
        <v>8.4572782745856436</v>
      </c>
      <c r="U60" s="544"/>
      <c r="V60" s="544"/>
      <c r="W60" s="544"/>
      <c r="X60" s="544"/>
      <c r="Y60" s="544"/>
    </row>
    <row r="61" spans="2:25">
      <c r="B61" s="257" t="s">
        <v>442</v>
      </c>
      <c r="C61" s="360" t="str">
        <f>'RFPR cover'!$C$14</f>
        <v>£m 12/13</v>
      </c>
      <c r="D61" s="252">
        <f>'R10 - Tax'!D82-'R10 - Tax'!D89</f>
        <v>4.6561923508338987E-2</v>
      </c>
      <c r="E61" s="252">
        <f>'R10 - Tax'!E82-'R10 - Tax'!E89</f>
        <v>6.2383013817890722</v>
      </c>
      <c r="F61" s="252">
        <f>'R10 - Tax'!F82-'R10 - Tax'!F89</f>
        <v>-3.5302036505901451</v>
      </c>
      <c r="G61" s="252">
        <f>'R10 - Tax'!G82-'R10 - Tax'!G89</f>
        <v>-0.1049940120109969</v>
      </c>
      <c r="H61" s="252">
        <f>'R10 - Tax'!H82-'R10 - Tax'!H89</f>
        <v>-2.1301485215874556</v>
      </c>
      <c r="I61" s="252">
        <f>'R10 - Tax'!I82-'R10 - Tax'!I89</f>
        <v>-0.87199219219861512</v>
      </c>
      <c r="J61" s="252">
        <f>'R10 - Tax'!J82-'R10 - Tax'!J89</f>
        <v>1.8210473302250481</v>
      </c>
      <c r="K61" s="252">
        <f>'R10 - Tax'!K82-'R10 - Tax'!K89</f>
        <v>1.844364262764147</v>
      </c>
      <c r="M61" s="97">
        <f>SUM(D61:INDEX(D61:K61,0,MATCH('RFPR cover'!$C$7,$D$6:$K$6,0)))</f>
        <v>2.6496656426962693</v>
      </c>
      <c r="N61" s="97">
        <f>SUM(D61:K61)</f>
        <v>3.3129365218993936</v>
      </c>
      <c r="U61" s="544"/>
      <c r="V61" s="544"/>
      <c r="W61" s="544"/>
      <c r="X61" s="544"/>
      <c r="Y61" s="544"/>
    </row>
    <row r="62" spans="2:25">
      <c r="B62" s="257" t="s">
        <v>437</v>
      </c>
      <c r="C62" s="360" t="str">
        <f>'RFPR cover'!$C$14</f>
        <v>£m 12/13</v>
      </c>
      <c r="D62" s="252">
        <f>'R10 - Tax'!D84-'R10 - Tax'!D90</f>
        <v>8.1718542254093363E-3</v>
      </c>
      <c r="E62" s="252">
        <f>'R10 - Tax'!E84-'R10 - Tax'!E90</f>
        <v>5.1216881124330205E-3</v>
      </c>
      <c r="F62" s="252">
        <f>'R10 - Tax'!F84-'R10 - Tax'!F90</f>
        <v>6.4180719277877607E-3</v>
      </c>
      <c r="G62" s="252">
        <f>'R10 - Tax'!G84-'R10 - Tax'!G90</f>
        <v>9.1311207669864114E-3</v>
      </c>
      <c r="H62" s="252">
        <f>'R10 - Tax'!H84-'R10 - Tax'!H90</f>
        <v>7.0840783826361664E-3</v>
      </c>
      <c r="I62" s="252">
        <f>'R10 - Tax'!I84-'R10 - Tax'!I90</f>
        <v>4.1155316024801269E-3</v>
      </c>
      <c r="J62" s="252">
        <f>'R10 - Tax'!J84-'R10 - Tax'!J90</f>
        <v>5.3514155084226078E-3</v>
      </c>
      <c r="K62" s="252">
        <f>'R10 - Tax'!K84-'R10 - Tax'!K90</f>
        <v>7.5921659762618887E-3</v>
      </c>
      <c r="M62" s="97">
        <f>SUM(D62:INDEX(D62:K62,0,MATCH('RFPR cover'!$C$7,$D$6:$K$6,0)))</f>
        <v>2.8842735032616529E-2</v>
      </c>
      <c r="N62" s="97">
        <f>SUM(D62:K62)</f>
        <v>5.2985926502417319E-2</v>
      </c>
      <c r="U62" s="544"/>
      <c r="V62" s="544"/>
      <c r="W62" s="544"/>
      <c r="X62" s="544"/>
      <c r="Y62" s="544"/>
    </row>
    <row r="63" spans="2:25">
      <c r="B63" s="258" t="s">
        <v>104</v>
      </c>
      <c r="C63" s="360" t="str">
        <f>'RFPR cover'!$C$14</f>
        <v>£m 12/13</v>
      </c>
      <c r="D63" s="255">
        <f>SUM(D58:D62)</f>
        <v>40.13022307656707</v>
      </c>
      <c r="E63" s="154">
        <f t="shared" ref="E63:K63" si="17">SUM(E58:E62)</f>
        <v>38.616825188273175</v>
      </c>
      <c r="F63" s="154">
        <f t="shared" si="17"/>
        <v>29.839228874487002</v>
      </c>
      <c r="G63" s="154">
        <f t="shared" si="17"/>
        <v>65.686201609919834</v>
      </c>
      <c r="H63" s="154">
        <f t="shared" si="17"/>
        <v>42.157711200806794</v>
      </c>
      <c r="I63" s="154">
        <f t="shared" si="17"/>
        <v>45.720865347543707</v>
      </c>
      <c r="J63" s="154">
        <f t="shared" si="17"/>
        <v>53.180428660930041</v>
      </c>
      <c r="K63" s="155">
        <f t="shared" si="17"/>
        <v>56.730426163387492</v>
      </c>
      <c r="M63" s="153">
        <f>SUM(M58:M62)</f>
        <v>174.27247874924709</v>
      </c>
      <c r="N63" s="155">
        <f>SUM(N58:N62)</f>
        <v>372.06191012191505</v>
      </c>
      <c r="U63" s="544"/>
      <c r="V63" s="544"/>
      <c r="W63" s="544"/>
      <c r="X63" s="544"/>
      <c r="Y63" s="544"/>
    </row>
    <row r="64" spans="2:25">
      <c r="B64" s="257"/>
      <c r="D64" s="446"/>
    </row>
    <row r="65" spans="2:22">
      <c r="B65" s="257" t="s">
        <v>232</v>
      </c>
      <c r="C65" s="360" t="str">
        <f>'RFPR cover'!$C$14</f>
        <v>£m 12/13</v>
      </c>
      <c r="D65" s="251">
        <f>'R9 - RAV'!D46</f>
        <v>424.32511255795418</v>
      </c>
      <c r="E65" s="188">
        <f>'R9 - RAV'!E46</f>
        <v>445.40345773694838</v>
      </c>
      <c r="F65" s="188">
        <f>'R9 - RAV'!F46</f>
        <v>464.24618605569287</v>
      </c>
      <c r="G65" s="188">
        <f>'R9 - RAV'!G46</f>
        <v>480.84022462853824</v>
      </c>
      <c r="H65" s="188">
        <f>'R9 - RAV'!H46</f>
        <v>498.36806394967505</v>
      </c>
      <c r="I65" s="188">
        <f>'R9 - RAV'!I46</f>
        <v>516.39702992149341</v>
      </c>
      <c r="J65" s="188">
        <f>'R9 - RAV'!J46</f>
        <v>535.74579357745233</v>
      </c>
      <c r="K65" s="189">
        <f>'R9 - RAV'!K46</f>
        <v>557.52542401348796</v>
      </c>
      <c r="U65" s="544"/>
      <c r="V65" s="544"/>
    </row>
    <row r="66" spans="2:22">
      <c r="B66" s="257" t="s">
        <v>107</v>
      </c>
      <c r="C66" s="360" t="str">
        <f>'RFPR cover'!$C$14</f>
        <v>£m 12/13</v>
      </c>
      <c r="D66" s="256">
        <f>'R8 - Net Debt'!D62</f>
        <v>528.61148758153161</v>
      </c>
      <c r="E66" s="192">
        <f>'R8 - Net Debt'!E62</f>
        <v>518.98542080256709</v>
      </c>
      <c r="F66" s="192">
        <f>'R8 - Net Debt'!F62</f>
        <v>540.35258961086674</v>
      </c>
      <c r="G66" s="192">
        <f>'R8 - Net Debt'!G62</f>
        <v>555.82688720303292</v>
      </c>
      <c r="H66" s="192">
        <f>'R8 - Net Debt'!H62</f>
        <v>561.20400295370052</v>
      </c>
      <c r="I66" s="192">
        <f>'R8 - Net Debt'!I62</f>
        <v>560.96582335975609</v>
      </c>
      <c r="J66" s="192">
        <f>'R8 - Net Debt'!J62</f>
        <v>596.72615743972415</v>
      </c>
      <c r="K66" s="193">
        <f>'R8 - Net Debt'!K62</f>
        <v>647.76786291713699</v>
      </c>
      <c r="U66" s="544"/>
      <c r="V66" s="544"/>
    </row>
    <row r="70" spans="2:22">
      <c r="J70" s="939"/>
    </row>
  </sheetData>
  <conditionalFormatting sqref="D5:K6">
    <cfRule type="expression" dxfId="66" priority="4">
      <formula>AND(D$5="Actuals",E$5="Forecast")</formula>
    </cfRule>
  </conditionalFormatting>
  <pageMargins left="0.70866141732283472" right="0.70866141732283472" top="0.74803149606299213" bottom="0.74803149606299213" header="0.31496062992125984" footer="0.31496062992125984"/>
  <pageSetup paperSize="8" scale="8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sheetPr>
  <dimension ref="A1:L71"/>
  <sheetViews>
    <sheetView showGridLines="0" zoomScale="80" zoomScaleNormal="80" workbookViewId="0">
      <pane ySplit="6" topLeftCell="A7" activePane="bottomLeft" state="frozen"/>
      <selection activeCell="G29" sqref="G29"/>
      <selection pane="bottomLeft" activeCell="A3" sqref="A3"/>
    </sheetView>
  </sheetViews>
  <sheetFormatPr defaultRowHeight="12.75"/>
  <cols>
    <col min="1" max="1" width="8.375" customWidth="1"/>
    <col min="2" max="2" width="64.375" style="223" customWidth="1"/>
    <col min="3" max="3" width="13.375" style="144" customWidth="1"/>
    <col min="4" max="11" width="11.125" customWidth="1"/>
    <col min="12" max="12" width="5" style="43" customWidth="1"/>
  </cols>
  <sheetData>
    <row r="1" spans="1:12" s="32" customFormat="1" ht="20.25">
      <c r="A1" s="268" t="s">
        <v>119</v>
      </c>
      <c r="B1" s="791"/>
      <c r="C1" s="289"/>
      <c r="D1" s="288"/>
      <c r="E1" s="288"/>
      <c r="F1" s="288"/>
      <c r="G1" s="288"/>
      <c r="H1" s="288"/>
      <c r="I1" s="288"/>
      <c r="J1" s="288"/>
      <c r="K1" s="288"/>
      <c r="L1" s="290"/>
    </row>
    <row r="2" spans="1:12" s="32" customFormat="1" ht="20.25">
      <c r="A2" s="126" t="str">
        <f>'RFPR cover'!C5</f>
        <v>WPD-SWEST</v>
      </c>
      <c r="B2" s="414"/>
      <c r="C2" s="142"/>
      <c r="D2" s="30"/>
      <c r="E2" s="30"/>
      <c r="F2" s="30"/>
      <c r="G2" s="30"/>
      <c r="H2" s="30"/>
      <c r="I2" s="27"/>
      <c r="J2" s="27"/>
      <c r="K2" s="27"/>
      <c r="L2" s="127"/>
    </row>
    <row r="3" spans="1:12" s="32" customFormat="1" ht="20.25">
      <c r="A3" s="273">
        <f>'RFPR cover'!C7</f>
        <v>2019</v>
      </c>
      <c r="B3" s="415"/>
      <c r="C3" s="291"/>
      <c r="D3" s="274"/>
      <c r="E3" s="274"/>
      <c r="F3" s="274"/>
      <c r="G3" s="274"/>
      <c r="H3" s="274"/>
      <c r="I3" s="267"/>
      <c r="J3" s="267"/>
      <c r="K3" s="267"/>
      <c r="L3" s="275"/>
    </row>
    <row r="4" spans="1:12" s="36" customFormat="1" ht="12.75" customHeight="1">
      <c r="B4" s="235"/>
      <c r="C4" s="146"/>
      <c r="L4" s="59"/>
    </row>
    <row r="5" spans="1:12" s="2" customFormat="1">
      <c r="B5" s="134"/>
      <c r="C5" s="144"/>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c r="L5" s="55"/>
    </row>
    <row r="6" spans="1:12" s="2" customFormat="1">
      <c r="B6" s="134"/>
      <c r="C6" s="144"/>
      <c r="D6" s="92">
        <f>'RFPR cover'!$C$13</f>
        <v>2016</v>
      </c>
      <c r="E6" s="93">
        <f>D6+1</f>
        <v>2017</v>
      </c>
      <c r="F6" s="93">
        <f t="shared" ref="F6:K6" si="0">E6+1</f>
        <v>2018</v>
      </c>
      <c r="G6" s="93">
        <f t="shared" si="0"/>
        <v>2019</v>
      </c>
      <c r="H6" s="93">
        <f t="shared" si="0"/>
        <v>2020</v>
      </c>
      <c r="I6" s="93">
        <f t="shared" si="0"/>
        <v>2021</v>
      </c>
      <c r="J6" s="93">
        <f t="shared" si="0"/>
        <v>2022</v>
      </c>
      <c r="K6" s="93">
        <f t="shared" si="0"/>
        <v>2023</v>
      </c>
      <c r="L6" s="55"/>
    </row>
    <row r="7" spans="1:12" s="2" customFormat="1">
      <c r="B7" s="792"/>
      <c r="C7" s="160"/>
      <c r="D7" s="51"/>
      <c r="E7" s="51"/>
      <c r="F7" s="51"/>
      <c r="G7" s="51"/>
      <c r="H7" s="51"/>
      <c r="I7" s="51"/>
      <c r="J7" s="51"/>
      <c r="K7" s="51"/>
      <c r="L7" s="59"/>
    </row>
    <row r="8" spans="1:12" s="2" customFormat="1">
      <c r="B8" s="793" t="s">
        <v>155</v>
      </c>
      <c r="C8" s="158"/>
      <c r="D8" s="82"/>
      <c r="E8" s="82"/>
      <c r="F8" s="82"/>
      <c r="G8" s="82"/>
      <c r="H8" s="82"/>
      <c r="I8" s="82"/>
      <c r="J8" s="82"/>
      <c r="K8" s="82"/>
      <c r="L8" s="286"/>
    </row>
    <row r="9" spans="1:12" s="36" customFormat="1">
      <c r="A9" s="2"/>
      <c r="B9" s="794"/>
      <c r="C9" s="146"/>
      <c r="L9" s="59"/>
    </row>
    <row r="10" spans="1:12" s="2" customFormat="1">
      <c r="B10" s="795" t="s">
        <v>389</v>
      </c>
      <c r="C10" s="159" t="str">
        <f>'RFPR cover'!$C$14</f>
        <v>£m 12/13</v>
      </c>
      <c r="D10" s="621">
        <v>286.89999999999998</v>
      </c>
      <c r="E10" s="622">
        <v>291.89999999999998</v>
      </c>
      <c r="F10" s="622">
        <v>296.5</v>
      </c>
      <c r="G10" s="622">
        <v>299.5</v>
      </c>
      <c r="H10" s="622"/>
      <c r="I10" s="622"/>
      <c r="J10" s="622"/>
      <c r="K10" s="622"/>
      <c r="L10" s="59"/>
    </row>
    <row r="11" spans="1:12" s="2" customFormat="1">
      <c r="B11" s="795" t="s">
        <v>390</v>
      </c>
      <c r="C11" s="159" t="str">
        <f>'RFPR cover'!$C$14</f>
        <v>£m 12/13</v>
      </c>
      <c r="D11" s="623">
        <v>0</v>
      </c>
      <c r="E11" s="624">
        <v>-1.7</v>
      </c>
      <c r="F11" s="624">
        <v>-4</v>
      </c>
      <c r="G11" s="624">
        <v>-7.8</v>
      </c>
      <c r="H11" s="624"/>
      <c r="I11" s="624"/>
      <c r="J11" s="624"/>
      <c r="K11" s="624"/>
      <c r="L11" s="59"/>
    </row>
    <row r="12" spans="1:12" s="2" customFormat="1">
      <c r="B12" s="795" t="s">
        <v>147</v>
      </c>
      <c r="C12" s="159" t="str">
        <f>'RFPR cover'!$C$14</f>
        <v>£m 12/13</v>
      </c>
      <c r="D12" s="623">
        <v>0</v>
      </c>
      <c r="E12" s="624">
        <v>0</v>
      </c>
      <c r="F12" s="624">
        <v>-6.3265570245591984</v>
      </c>
      <c r="G12" s="624">
        <v>-1.1427829459226504</v>
      </c>
      <c r="H12" s="624"/>
      <c r="I12" s="624"/>
      <c r="J12" s="624"/>
      <c r="K12" s="624"/>
      <c r="L12" s="59"/>
    </row>
    <row r="13" spans="1:12" s="2" customFormat="1">
      <c r="B13" s="795" t="s">
        <v>378</v>
      </c>
      <c r="C13" s="160" t="s">
        <v>127</v>
      </c>
      <c r="D13" s="845">
        <v>1.0820000000000001</v>
      </c>
      <c r="E13" s="846">
        <v>1.087</v>
      </c>
      <c r="F13" s="846">
        <v>1.121</v>
      </c>
      <c r="G13" s="846">
        <v>1.159</v>
      </c>
      <c r="H13" s="846"/>
      <c r="I13" s="846"/>
      <c r="J13" s="846"/>
      <c r="K13" s="846"/>
      <c r="L13" s="59"/>
    </row>
    <row r="14" spans="1:12" s="2" customFormat="1">
      <c r="B14" s="796" t="s">
        <v>196</v>
      </c>
      <c r="C14" s="280" t="s">
        <v>128</v>
      </c>
      <c r="D14" s="656">
        <f>SUM(D10:D12)*D13</f>
        <v>310.42579999999998</v>
      </c>
      <c r="E14" s="657">
        <f t="shared" ref="E14:K14" si="1">SUM(E10:E12)*E13</f>
        <v>315.44739999999996</v>
      </c>
      <c r="F14" s="657">
        <f t="shared" si="1"/>
        <v>320.80042957546914</v>
      </c>
      <c r="G14" s="657">
        <f t="shared" si="1"/>
        <v>336.75581456567562</v>
      </c>
      <c r="H14" s="657">
        <f t="shared" si="1"/>
        <v>0</v>
      </c>
      <c r="I14" s="657">
        <f t="shared" si="1"/>
        <v>0</v>
      </c>
      <c r="J14" s="657">
        <f t="shared" si="1"/>
        <v>0</v>
      </c>
      <c r="K14" s="658">
        <f t="shared" si="1"/>
        <v>0</v>
      </c>
      <c r="L14" s="59"/>
    </row>
    <row r="15" spans="1:12" s="2" customFormat="1">
      <c r="B15" s="223" t="s">
        <v>131</v>
      </c>
      <c r="C15" s="160" t="s">
        <v>128</v>
      </c>
      <c r="D15" s="625">
        <f>'R5 - Output Incentives'!D102</f>
        <v>7.2959808351149995</v>
      </c>
      <c r="E15" s="626">
        <f>'R5 - Output Incentives'!E102</f>
        <v>7.9779374569769903</v>
      </c>
      <c r="F15" s="627">
        <f>'R5 - Output Incentives'!F102</f>
        <v>11.056645964830542</v>
      </c>
      <c r="G15" s="627">
        <f>'R5 - Output Incentives'!G102</f>
        <v>9.3688219807151381</v>
      </c>
      <c r="H15" s="627">
        <f>'R5 - Output Incentives'!H102</f>
        <v>5.2053975119269493</v>
      </c>
      <c r="I15" s="627">
        <f>'R5 - Output Incentives'!I102</f>
        <v>10.211184036430556</v>
      </c>
      <c r="J15" s="627">
        <f>'R5 - Output Incentives'!J102</f>
        <v>8.3061938495014882</v>
      </c>
      <c r="K15" s="628">
        <f>'R5 - Output Incentives'!K102</f>
        <v>8.2194209218911478</v>
      </c>
      <c r="L15" s="59"/>
    </row>
    <row r="16" spans="1:12" s="2" customFormat="1">
      <c r="B16" s="797" t="s">
        <v>391</v>
      </c>
      <c r="C16" s="160" t="s">
        <v>128</v>
      </c>
      <c r="D16" s="623">
        <v>0</v>
      </c>
      <c r="E16" s="624">
        <v>0</v>
      </c>
      <c r="F16" s="624">
        <v>-0.9743727796161239</v>
      </c>
      <c r="G16" s="624">
        <v>-1.5370216543795576</v>
      </c>
      <c r="H16" s="624"/>
      <c r="I16" s="624"/>
      <c r="J16" s="624"/>
      <c r="K16" s="624"/>
      <c r="L16" s="59"/>
    </row>
    <row r="17" spans="2:12" s="2" customFormat="1">
      <c r="B17" s="797" t="s">
        <v>134</v>
      </c>
      <c r="C17" s="160" t="s">
        <v>128</v>
      </c>
      <c r="D17" s="625">
        <f>'R6 - Innovation'!D12</f>
        <v>0.45862408100000007</v>
      </c>
      <c r="E17" s="626">
        <f>'R6 - Innovation'!E12</f>
        <v>1.1017892250000003</v>
      </c>
      <c r="F17" s="627">
        <f>'R6 - Innovation'!F12</f>
        <v>1.4480200000000001</v>
      </c>
      <c r="G17" s="627">
        <f>'R6 - Innovation'!G12</f>
        <v>0.90602999999999989</v>
      </c>
      <c r="H17" s="627">
        <f>'R6 - Innovation'!H12</f>
        <v>1.3840593479999999</v>
      </c>
      <c r="I17" s="627">
        <f>'R6 - Innovation'!I12</f>
        <v>1.3840593479999999</v>
      </c>
      <c r="J17" s="627">
        <f>'R6 - Innovation'!J12</f>
        <v>1.1072474783999999</v>
      </c>
      <c r="K17" s="628">
        <f>'R6 - Innovation'!K12</f>
        <v>0.77507323488000002</v>
      </c>
      <c r="L17" s="59"/>
    </row>
    <row r="18" spans="2:12" s="2" customFormat="1">
      <c r="B18" s="797" t="s">
        <v>133</v>
      </c>
      <c r="C18" s="160" t="s">
        <v>128</v>
      </c>
      <c r="D18" s="625">
        <f>'R6 - Innovation'!D17</f>
        <v>1.0900995600000001</v>
      </c>
      <c r="E18" s="626">
        <f>'R6 - Innovation'!E17</f>
        <v>5.799675E-2</v>
      </c>
      <c r="F18" s="627">
        <f>'R6 - Innovation'!F17</f>
        <v>0.16837228000000001</v>
      </c>
      <c r="G18" s="627">
        <f>'R6 - Innovation'!G17</f>
        <v>0.45837662000000001</v>
      </c>
      <c r="H18" s="627">
        <f>'R6 - Innovation'!H17</f>
        <v>6.3094600000000001E-2</v>
      </c>
      <c r="I18" s="627">
        <f>'R6 - Innovation'!I17</f>
        <v>6.3094600000000001E-2</v>
      </c>
      <c r="J18" s="627">
        <f>'R6 - Innovation'!J17</f>
        <v>6.3094600000000001E-2</v>
      </c>
      <c r="K18" s="628">
        <f>'R6 - Innovation'!K17</f>
        <v>6.3094600000000001E-2</v>
      </c>
      <c r="L18" s="59"/>
    </row>
    <row r="19" spans="2:12" s="2" customFormat="1">
      <c r="B19" s="934" t="s">
        <v>545</v>
      </c>
      <c r="C19" s="160" t="s">
        <v>128</v>
      </c>
      <c r="D19" s="623">
        <v>-9.4046009259502412</v>
      </c>
      <c r="E19" s="624">
        <v>-1.9100856947630691</v>
      </c>
      <c r="F19" s="624">
        <v>0</v>
      </c>
      <c r="G19" s="624">
        <v>0</v>
      </c>
      <c r="H19" s="624"/>
      <c r="I19" s="624"/>
      <c r="J19" s="624"/>
      <c r="K19" s="624"/>
      <c r="L19" s="59"/>
    </row>
    <row r="20" spans="2:12" s="2" customFormat="1">
      <c r="B20" s="568" t="s">
        <v>243</v>
      </c>
      <c r="C20" s="160" t="s">
        <v>128</v>
      </c>
      <c r="D20" s="623">
        <v>0</v>
      </c>
      <c r="E20" s="624">
        <v>0</v>
      </c>
      <c r="F20" s="624">
        <v>0</v>
      </c>
      <c r="G20" s="624">
        <v>0</v>
      </c>
      <c r="H20" s="624"/>
      <c r="I20" s="624"/>
      <c r="J20" s="624"/>
      <c r="K20" s="624"/>
      <c r="L20" s="59"/>
    </row>
    <row r="21" spans="2:12" s="2" customFormat="1">
      <c r="B21" s="568" t="s">
        <v>243</v>
      </c>
      <c r="C21" s="160" t="s">
        <v>128</v>
      </c>
      <c r="D21" s="623">
        <v>0</v>
      </c>
      <c r="E21" s="624">
        <v>0</v>
      </c>
      <c r="F21" s="624">
        <v>0</v>
      </c>
      <c r="G21" s="624">
        <v>0</v>
      </c>
      <c r="H21" s="624"/>
      <c r="I21" s="624"/>
      <c r="J21" s="624"/>
      <c r="K21" s="624"/>
      <c r="L21" s="59"/>
    </row>
    <row r="22" spans="2:12" s="2" customFormat="1">
      <c r="B22" s="568" t="s">
        <v>243</v>
      </c>
      <c r="C22" s="160" t="s">
        <v>128</v>
      </c>
      <c r="D22" s="623">
        <v>0</v>
      </c>
      <c r="E22" s="624">
        <v>0</v>
      </c>
      <c r="F22" s="624">
        <v>0</v>
      </c>
      <c r="G22" s="624">
        <v>0</v>
      </c>
      <c r="H22" s="624"/>
      <c r="I22" s="624"/>
      <c r="J22" s="624"/>
      <c r="K22" s="624"/>
      <c r="L22" s="59"/>
    </row>
    <row r="23" spans="2:12" s="2" customFormat="1">
      <c r="B23" s="568" t="s">
        <v>243</v>
      </c>
      <c r="C23" s="160" t="s">
        <v>128</v>
      </c>
      <c r="D23" s="623">
        <v>0</v>
      </c>
      <c r="E23" s="624">
        <v>0</v>
      </c>
      <c r="F23" s="624">
        <v>0</v>
      </c>
      <c r="G23" s="624">
        <v>0</v>
      </c>
      <c r="H23" s="624"/>
      <c r="I23" s="624"/>
      <c r="J23" s="624"/>
      <c r="K23" s="624"/>
      <c r="L23" s="59"/>
    </row>
    <row r="24" spans="2:12" s="2" customFormat="1">
      <c r="B24" s="568" t="s">
        <v>243</v>
      </c>
      <c r="C24" s="160" t="s">
        <v>128</v>
      </c>
      <c r="D24" s="623">
        <v>0</v>
      </c>
      <c r="E24" s="624">
        <v>0</v>
      </c>
      <c r="F24" s="624">
        <v>0</v>
      </c>
      <c r="G24" s="624">
        <v>0</v>
      </c>
      <c r="H24" s="624"/>
      <c r="I24" s="624"/>
      <c r="J24" s="624"/>
      <c r="K24" s="624"/>
      <c r="L24" s="59"/>
    </row>
    <row r="25" spans="2:12" s="2" customFormat="1">
      <c r="B25" s="797" t="s">
        <v>135</v>
      </c>
      <c r="C25" s="160" t="s">
        <v>128</v>
      </c>
      <c r="D25" s="623">
        <v>0</v>
      </c>
      <c r="E25" s="624">
        <v>-21.218210269698869</v>
      </c>
      <c r="F25" s="624">
        <v>-2.9158233460713121</v>
      </c>
      <c r="G25" s="624">
        <v>12.619615032575819</v>
      </c>
      <c r="H25" s="624"/>
      <c r="I25" s="624"/>
      <c r="J25" s="624"/>
      <c r="K25" s="624"/>
      <c r="L25" s="59"/>
    </row>
    <row r="26" spans="2:12" s="2" customFormat="1">
      <c r="B26" s="792" t="s">
        <v>148</v>
      </c>
      <c r="C26" s="160" t="s">
        <v>128</v>
      </c>
      <c r="D26" s="629">
        <f>SUM(D14:D24,-D25)</f>
        <v>309.86590355016472</v>
      </c>
      <c r="E26" s="630">
        <f t="shared" ref="E26:K26" si="2">SUM(E14:E24,-E25)</f>
        <v>343.8932480069127</v>
      </c>
      <c r="F26" s="630">
        <f t="shared" si="2"/>
        <v>335.41491838675483</v>
      </c>
      <c r="G26" s="630">
        <f t="shared" si="2"/>
        <v>333.33240647943541</v>
      </c>
      <c r="H26" s="630">
        <f t="shared" si="2"/>
        <v>6.6525514599269497</v>
      </c>
      <c r="I26" s="630">
        <f t="shared" si="2"/>
        <v>11.658337984430554</v>
      </c>
      <c r="J26" s="630">
        <f t="shared" si="2"/>
        <v>9.4765359279014874</v>
      </c>
      <c r="K26" s="631">
        <f t="shared" si="2"/>
        <v>9.0575887567711479</v>
      </c>
      <c r="L26" s="59"/>
    </row>
    <row r="27" spans="2:12" s="2" customFormat="1">
      <c r="B27" s="235"/>
      <c r="C27" s="146"/>
      <c r="D27" s="56"/>
      <c r="E27" s="56"/>
      <c r="F27" s="56"/>
      <c r="G27" s="62"/>
      <c r="H27" s="62"/>
      <c r="I27" s="62"/>
      <c r="J27" s="62"/>
      <c r="K27" s="62"/>
      <c r="L27" s="59"/>
    </row>
    <row r="28" spans="2:12" s="2" customFormat="1">
      <c r="B28" s="235" t="s">
        <v>150</v>
      </c>
      <c r="C28" s="146"/>
      <c r="D28" s="629">
        <f>IF(ISBLANK(D33),0,D33-D26)</f>
        <v>-2.8071223401647671</v>
      </c>
      <c r="E28" s="630">
        <f t="shared" ref="E28:K28" si="3">IF(ISBLANK(E33),0,E33-E26)</f>
        <v>12.166725073087321</v>
      </c>
      <c r="F28" s="630">
        <f t="shared" si="3"/>
        <v>8.553747913245104</v>
      </c>
      <c r="G28" s="630">
        <f t="shared" si="3"/>
        <v>12.524881230564574</v>
      </c>
      <c r="H28" s="630">
        <f t="shared" si="3"/>
        <v>0</v>
      </c>
      <c r="I28" s="630">
        <f t="shared" si="3"/>
        <v>0</v>
      </c>
      <c r="J28" s="630">
        <f t="shared" si="3"/>
        <v>0</v>
      </c>
      <c r="K28" s="631">
        <f t="shared" si="3"/>
        <v>0</v>
      </c>
      <c r="L28" s="59"/>
    </row>
    <row r="29" spans="2:12" s="2" customFormat="1">
      <c r="B29" s="235"/>
      <c r="C29" s="146"/>
      <c r="D29" s="36"/>
      <c r="E29" s="36"/>
      <c r="F29" s="36"/>
      <c r="G29" s="36"/>
      <c r="H29" s="36"/>
      <c r="I29" s="36"/>
      <c r="J29" s="36"/>
      <c r="K29" s="36"/>
      <c r="L29" s="59"/>
    </row>
    <row r="30" spans="2:12" s="2" customFormat="1">
      <c r="B30" s="235"/>
      <c r="C30" s="146"/>
      <c r="D30" s="36"/>
      <c r="E30" s="36"/>
      <c r="F30" s="36"/>
      <c r="G30" s="36"/>
      <c r="H30" s="36"/>
      <c r="I30" s="36"/>
      <c r="J30" s="36"/>
      <c r="K30" s="36"/>
      <c r="L30" s="59"/>
    </row>
    <row r="31" spans="2:12" s="2" customFormat="1">
      <c r="B31" s="793" t="s">
        <v>193</v>
      </c>
      <c r="C31" s="158"/>
      <c r="D31" s="82"/>
      <c r="E31" s="82"/>
      <c r="F31" s="82"/>
      <c r="G31" s="82"/>
      <c r="H31" s="82"/>
      <c r="I31" s="82"/>
      <c r="J31" s="82"/>
      <c r="K31" s="82"/>
      <c r="L31" s="287"/>
    </row>
    <row r="32" spans="2:12" s="2" customFormat="1">
      <c r="B32" s="235"/>
      <c r="C32" s="146"/>
      <c r="D32" s="36"/>
      <c r="E32" s="36"/>
      <c r="F32" s="36"/>
      <c r="G32" s="36"/>
      <c r="H32" s="36"/>
      <c r="I32" s="36"/>
      <c r="J32" s="36"/>
      <c r="K32" s="36"/>
      <c r="L32" s="59"/>
    </row>
    <row r="33" spans="2:12" s="2" customFormat="1">
      <c r="B33" s="794" t="s">
        <v>149</v>
      </c>
      <c r="C33" s="146"/>
      <c r="D33" s="665">
        <v>307.05878120999995</v>
      </c>
      <c r="E33" s="666">
        <v>356.05997308000002</v>
      </c>
      <c r="F33" s="666">
        <v>343.96866629999994</v>
      </c>
      <c r="G33" s="666">
        <v>345.85728770999998</v>
      </c>
      <c r="H33" s="666"/>
      <c r="I33" s="666"/>
      <c r="J33" s="666"/>
      <c r="K33" s="667"/>
      <c r="L33" s="59"/>
    </row>
    <row r="34" spans="2:12" s="2" customFormat="1">
      <c r="B34" s="134"/>
      <c r="C34" s="144"/>
      <c r="L34" s="59"/>
    </row>
    <row r="35" spans="2:12" s="2" customFormat="1">
      <c r="B35" s="417" t="s">
        <v>136</v>
      </c>
      <c r="C35" s="144"/>
      <c r="L35" s="59"/>
    </row>
    <row r="36" spans="2:12" s="2" customFormat="1">
      <c r="B36" s="926" t="s">
        <v>137</v>
      </c>
      <c r="C36" s="160" t="s">
        <v>128</v>
      </c>
      <c r="D36" s="621">
        <v>0</v>
      </c>
      <c r="E36" s="622">
        <v>0</v>
      </c>
      <c r="F36" s="622">
        <v>0</v>
      </c>
      <c r="G36" s="622">
        <v>0</v>
      </c>
      <c r="H36" s="622"/>
      <c r="I36" s="622"/>
      <c r="J36" s="622"/>
      <c r="K36" s="632"/>
      <c r="L36" s="59"/>
    </row>
    <row r="37" spans="2:12" s="2" customFormat="1">
      <c r="B37" s="926" t="s">
        <v>138</v>
      </c>
      <c r="C37" s="160" t="s">
        <v>128</v>
      </c>
      <c r="D37" s="623">
        <v>2.7888999999999999</v>
      </c>
      <c r="E37" s="624">
        <v>2.5195000000000003</v>
      </c>
      <c r="F37" s="624">
        <v>2.0343</v>
      </c>
      <c r="G37" s="624">
        <v>2.1497999999999999</v>
      </c>
      <c r="H37" s="624"/>
      <c r="I37" s="624"/>
      <c r="J37" s="624"/>
      <c r="K37" s="633"/>
      <c r="L37" s="59"/>
    </row>
    <row r="38" spans="2:12" s="2" customFormat="1">
      <c r="B38" s="926" t="s">
        <v>139</v>
      </c>
      <c r="C38" s="160" t="s">
        <v>128</v>
      </c>
      <c r="D38" s="623">
        <v>10.5586</v>
      </c>
      <c r="E38" s="624">
        <v>38.68560124495</v>
      </c>
      <c r="F38" s="624">
        <v>41.936399999999999</v>
      </c>
      <c r="G38" s="624">
        <v>48.3078</v>
      </c>
      <c r="H38" s="624"/>
      <c r="I38" s="624"/>
      <c r="J38" s="624"/>
      <c r="K38" s="633"/>
      <c r="L38" s="59"/>
    </row>
    <row r="39" spans="2:12" s="2" customFormat="1">
      <c r="B39" s="926" t="s">
        <v>140</v>
      </c>
      <c r="C39" s="160" t="s">
        <v>128</v>
      </c>
      <c r="D39" s="623">
        <v>0</v>
      </c>
      <c r="E39" s="624">
        <v>0</v>
      </c>
      <c r="F39" s="624">
        <v>0</v>
      </c>
      <c r="G39" s="624">
        <v>0</v>
      </c>
      <c r="H39" s="624"/>
      <c r="I39" s="624"/>
      <c r="J39" s="624"/>
      <c r="K39" s="633"/>
      <c r="L39" s="59"/>
    </row>
    <row r="40" spans="2:12" s="2" customFormat="1">
      <c r="B40" s="926" t="s">
        <v>141</v>
      </c>
      <c r="C40" s="160" t="s">
        <v>128</v>
      </c>
      <c r="D40" s="623">
        <v>0</v>
      </c>
      <c r="E40" s="624">
        <v>0</v>
      </c>
      <c r="F40" s="624">
        <v>0</v>
      </c>
      <c r="G40" s="624">
        <v>0</v>
      </c>
      <c r="H40" s="624"/>
      <c r="I40" s="624"/>
      <c r="J40" s="624"/>
      <c r="K40" s="633"/>
      <c r="L40" s="59"/>
    </row>
    <row r="41" spans="2:12" s="2" customFormat="1">
      <c r="B41" s="926" t="s">
        <v>142</v>
      </c>
      <c r="C41" s="160" t="s">
        <v>128</v>
      </c>
      <c r="D41" s="623">
        <v>4.0037000000000003</v>
      </c>
      <c r="E41" s="624">
        <v>3.9135</v>
      </c>
      <c r="F41" s="624">
        <v>3.5831</v>
      </c>
      <c r="G41" s="624">
        <v>2.8521999999999998</v>
      </c>
      <c r="H41" s="624"/>
      <c r="I41" s="624"/>
      <c r="J41" s="624"/>
      <c r="K41" s="633"/>
      <c r="L41" s="59"/>
    </row>
    <row r="42" spans="2:12" s="2" customFormat="1">
      <c r="B42" s="926" t="s">
        <v>143</v>
      </c>
      <c r="C42" s="160" t="s">
        <v>128</v>
      </c>
      <c r="D42" s="623">
        <v>0</v>
      </c>
      <c r="E42" s="624">
        <v>0</v>
      </c>
      <c r="F42" s="624">
        <v>0</v>
      </c>
      <c r="G42" s="624">
        <v>0</v>
      </c>
      <c r="H42" s="624"/>
      <c r="I42" s="624"/>
      <c r="J42" s="624"/>
      <c r="K42" s="633"/>
      <c r="L42" s="59"/>
    </row>
    <row r="43" spans="2:12" s="2" customFormat="1">
      <c r="B43" s="927" t="s">
        <v>144</v>
      </c>
      <c r="C43" s="160" t="s">
        <v>128</v>
      </c>
      <c r="D43" s="623">
        <v>0</v>
      </c>
      <c r="E43" s="624">
        <v>0</v>
      </c>
      <c r="F43" s="624">
        <v>0</v>
      </c>
      <c r="G43" s="635">
        <v>0</v>
      </c>
      <c r="H43" s="635"/>
      <c r="I43" s="635"/>
      <c r="J43" s="635"/>
      <c r="K43" s="636"/>
      <c r="L43" s="59"/>
    </row>
    <row r="44" spans="2:12" s="2" customFormat="1">
      <c r="B44" s="925" t="s">
        <v>531</v>
      </c>
      <c r="C44" s="160" t="s">
        <v>128</v>
      </c>
      <c r="D44" s="634">
        <v>0</v>
      </c>
      <c r="E44" s="635">
        <v>0</v>
      </c>
      <c r="F44" s="635">
        <v>0</v>
      </c>
      <c r="G44" s="635">
        <v>0</v>
      </c>
      <c r="H44" s="635"/>
      <c r="I44" s="635"/>
      <c r="J44" s="635"/>
      <c r="K44" s="636"/>
      <c r="L44" s="59"/>
    </row>
    <row r="45" spans="2:12" s="2" customFormat="1">
      <c r="B45" s="417" t="s">
        <v>176</v>
      </c>
      <c r="C45" s="160" t="s">
        <v>128</v>
      </c>
      <c r="D45" s="637">
        <f>SUM(D36:D44)</f>
        <v>17.351199999999999</v>
      </c>
      <c r="E45" s="638">
        <f t="shared" ref="E45:K45" si="4">SUM(E36:E44)</f>
        <v>45.11860124495</v>
      </c>
      <c r="F45" s="638">
        <f t="shared" si="4"/>
        <v>47.553800000000003</v>
      </c>
      <c r="G45" s="638">
        <f t="shared" si="4"/>
        <v>53.309799999999996</v>
      </c>
      <c r="H45" s="638">
        <f t="shared" si="4"/>
        <v>0</v>
      </c>
      <c r="I45" s="638">
        <f t="shared" si="4"/>
        <v>0</v>
      </c>
      <c r="J45" s="638">
        <f t="shared" si="4"/>
        <v>0</v>
      </c>
      <c r="K45" s="639">
        <f t="shared" si="4"/>
        <v>0</v>
      </c>
      <c r="L45" s="59"/>
    </row>
    <row r="46" spans="2:12" s="2" customFormat="1">
      <c r="B46" s="134"/>
      <c r="C46" s="144"/>
      <c r="L46" s="59"/>
    </row>
    <row r="47" spans="2:12" s="2" customFormat="1">
      <c r="B47" s="417" t="s">
        <v>145</v>
      </c>
      <c r="C47" s="144"/>
      <c r="L47" s="55"/>
    </row>
    <row r="48" spans="2:12" s="2" customFormat="1">
      <c r="B48" s="934" t="s">
        <v>546</v>
      </c>
      <c r="C48" s="160" t="s">
        <v>128</v>
      </c>
      <c r="D48" s="640">
        <v>1.9776003520000001</v>
      </c>
      <c r="E48" s="641">
        <v>2.6860033630000002</v>
      </c>
      <c r="F48" s="641">
        <v>2.7193234500000001</v>
      </c>
      <c r="G48" s="641">
        <v>5.7949796899999999</v>
      </c>
      <c r="H48" s="641"/>
      <c r="I48" s="641"/>
      <c r="J48" s="641"/>
      <c r="K48" s="642"/>
      <c r="L48" s="59"/>
    </row>
    <row r="49" spans="2:12" s="2" customFormat="1">
      <c r="B49" s="934" t="s">
        <v>547</v>
      </c>
      <c r="C49" s="160" t="s">
        <v>128</v>
      </c>
      <c r="D49" s="643">
        <v>-0.76088299999999998</v>
      </c>
      <c r="E49" s="644">
        <v>-0.63873232000999991</v>
      </c>
      <c r="F49" s="644">
        <v>-0.49299996000000001</v>
      </c>
      <c r="G49" s="644">
        <v>-0.52687464000000006</v>
      </c>
      <c r="H49" s="644"/>
      <c r="I49" s="644"/>
      <c r="J49" s="644"/>
      <c r="K49" s="645"/>
      <c r="L49" s="59"/>
    </row>
    <row r="50" spans="2:12" s="2" customFormat="1">
      <c r="B50" s="934" t="s">
        <v>548</v>
      </c>
      <c r="C50" s="160" t="s">
        <v>128</v>
      </c>
      <c r="D50" s="643">
        <v>-1.3659473899999997</v>
      </c>
      <c r="E50" s="644">
        <v>-1.1649678700000001</v>
      </c>
      <c r="F50" s="644">
        <v>-1.3093721100000002</v>
      </c>
      <c r="G50" s="644">
        <v>-0.92787659999999983</v>
      </c>
      <c r="H50" s="644"/>
      <c r="I50" s="644"/>
      <c r="J50" s="644"/>
      <c r="K50" s="645"/>
      <c r="L50" s="59"/>
    </row>
    <row r="51" spans="2:12" s="2" customFormat="1">
      <c r="B51" s="934" t="s">
        <v>549</v>
      </c>
      <c r="C51" s="160" t="s">
        <v>128</v>
      </c>
      <c r="D51" s="643">
        <v>34.615600000000001</v>
      </c>
      <c r="E51" s="644">
        <v>0</v>
      </c>
      <c r="F51" s="644">
        <v>0</v>
      </c>
      <c r="G51" s="644">
        <v>0</v>
      </c>
      <c r="H51" s="644"/>
      <c r="I51" s="644"/>
      <c r="J51" s="644"/>
      <c r="K51" s="645"/>
      <c r="L51" s="59"/>
    </row>
    <row r="52" spans="2:12" s="2" customFormat="1">
      <c r="B52" s="934" t="s">
        <v>550</v>
      </c>
      <c r="C52" s="160" t="s">
        <v>128</v>
      </c>
      <c r="D52" s="643">
        <v>-36.565800000000003</v>
      </c>
      <c r="E52" s="644">
        <v>-29.979101244949998</v>
      </c>
      <c r="F52" s="644">
        <v>-28.109400000000001</v>
      </c>
      <c r="G52" s="644">
        <v>-31.3200934027278</v>
      </c>
      <c r="H52" s="644"/>
      <c r="I52" s="644"/>
      <c r="J52" s="644"/>
      <c r="K52" s="645"/>
      <c r="L52" s="59"/>
    </row>
    <row r="53" spans="2:12" s="2" customFormat="1">
      <c r="B53" s="934" t="s">
        <v>551</v>
      </c>
      <c r="C53" s="160" t="s">
        <v>128</v>
      </c>
      <c r="D53" s="643">
        <v>1.9501999999999999</v>
      </c>
      <c r="E53" s="644">
        <v>0</v>
      </c>
      <c r="F53" s="644">
        <v>0</v>
      </c>
      <c r="G53" s="644">
        <v>0</v>
      </c>
      <c r="H53" s="644"/>
      <c r="I53" s="644"/>
      <c r="J53" s="644"/>
      <c r="K53" s="645"/>
      <c r="L53" s="59"/>
    </row>
    <row r="54" spans="2:12" s="2" customFormat="1">
      <c r="B54" s="568" t="s">
        <v>243</v>
      </c>
      <c r="C54" s="160" t="s">
        <v>128</v>
      </c>
      <c r="D54" s="643"/>
      <c r="E54" s="644"/>
      <c r="F54" s="644"/>
      <c r="G54" s="644"/>
      <c r="H54" s="644"/>
      <c r="I54" s="644"/>
      <c r="J54" s="644"/>
      <c r="K54" s="645"/>
      <c r="L54" s="59"/>
    </row>
    <row r="55" spans="2:12" s="2" customFormat="1">
      <c r="B55" s="568" t="s">
        <v>243</v>
      </c>
      <c r="C55" s="160" t="s">
        <v>128</v>
      </c>
      <c r="D55" s="643"/>
      <c r="E55" s="644"/>
      <c r="F55" s="644"/>
      <c r="G55" s="644"/>
      <c r="H55" s="644"/>
      <c r="I55" s="644"/>
      <c r="J55" s="644"/>
      <c r="K55" s="645"/>
      <c r="L55" s="59"/>
    </row>
    <row r="56" spans="2:12" s="2" customFormat="1">
      <c r="B56" s="568" t="s">
        <v>243</v>
      </c>
      <c r="C56" s="160" t="s">
        <v>128</v>
      </c>
      <c r="D56" s="643"/>
      <c r="E56" s="644"/>
      <c r="F56" s="644"/>
      <c r="G56" s="644"/>
      <c r="H56" s="644"/>
      <c r="I56" s="644"/>
      <c r="J56" s="644"/>
      <c r="K56" s="645"/>
      <c r="L56" s="59"/>
    </row>
    <row r="57" spans="2:12" s="2" customFormat="1">
      <c r="B57" s="568" t="s">
        <v>243</v>
      </c>
      <c r="C57" s="160" t="s">
        <v>128</v>
      </c>
      <c r="D57" s="643"/>
      <c r="E57" s="644"/>
      <c r="F57" s="644"/>
      <c r="G57" s="644"/>
      <c r="H57" s="644"/>
      <c r="I57" s="644"/>
      <c r="J57" s="644"/>
      <c r="K57" s="645"/>
      <c r="L57" s="59"/>
    </row>
    <row r="58" spans="2:12" s="2" customFormat="1">
      <c r="B58" s="568" t="s">
        <v>243</v>
      </c>
      <c r="C58" s="160" t="s">
        <v>128</v>
      </c>
      <c r="D58" s="643"/>
      <c r="E58" s="644"/>
      <c r="F58" s="644"/>
      <c r="G58" s="644"/>
      <c r="H58" s="644"/>
      <c r="I58" s="644"/>
      <c r="J58" s="644"/>
      <c r="K58" s="645"/>
      <c r="L58" s="59"/>
    </row>
    <row r="59" spans="2:12" s="2" customFormat="1">
      <c r="B59" s="568" t="s">
        <v>243</v>
      </c>
      <c r="C59" s="160" t="s">
        <v>128</v>
      </c>
      <c r="D59" s="643"/>
      <c r="E59" s="644"/>
      <c r="F59" s="644"/>
      <c r="G59" s="644"/>
      <c r="H59" s="644"/>
      <c r="I59" s="644"/>
      <c r="J59" s="644"/>
      <c r="K59" s="645"/>
      <c r="L59" s="59"/>
    </row>
    <row r="60" spans="2:12" s="2" customFormat="1">
      <c r="B60" s="568" t="s">
        <v>243</v>
      </c>
      <c r="C60" s="160" t="s">
        <v>128</v>
      </c>
      <c r="D60" s="643"/>
      <c r="E60" s="644"/>
      <c r="F60" s="644"/>
      <c r="G60" s="644"/>
      <c r="H60" s="644"/>
      <c r="I60" s="644"/>
      <c r="J60" s="644"/>
      <c r="K60" s="645"/>
      <c r="L60" s="59"/>
    </row>
    <row r="61" spans="2:12" s="2" customFormat="1">
      <c r="B61" s="568" t="s">
        <v>243</v>
      </c>
      <c r="C61" s="160" t="s">
        <v>128</v>
      </c>
      <c r="D61" s="643"/>
      <c r="E61" s="644"/>
      <c r="F61" s="644"/>
      <c r="G61" s="644"/>
      <c r="H61" s="644"/>
      <c r="I61" s="644"/>
      <c r="J61" s="644"/>
      <c r="K61" s="645"/>
      <c r="L61" s="59"/>
    </row>
    <row r="62" spans="2:12" s="2" customFormat="1">
      <c r="B62" s="568" t="s">
        <v>243</v>
      </c>
      <c r="C62" s="160" t="s">
        <v>128</v>
      </c>
      <c r="D62" s="643"/>
      <c r="E62" s="644"/>
      <c r="F62" s="644"/>
      <c r="G62" s="644"/>
      <c r="H62" s="644"/>
      <c r="I62" s="644"/>
      <c r="J62" s="644"/>
      <c r="K62" s="645"/>
      <c r="L62" s="59"/>
    </row>
    <row r="63" spans="2:12" s="2" customFormat="1">
      <c r="B63" s="798" t="s">
        <v>154</v>
      </c>
      <c r="C63" s="160" t="s">
        <v>128</v>
      </c>
      <c r="D63" s="646">
        <v>0</v>
      </c>
      <c r="E63" s="647">
        <v>0.12</v>
      </c>
      <c r="F63" s="648">
        <v>0.1</v>
      </c>
      <c r="G63" s="647">
        <v>0</v>
      </c>
      <c r="H63" s="647"/>
      <c r="I63" s="647"/>
      <c r="J63" s="647"/>
      <c r="K63" s="649"/>
      <c r="L63" s="59"/>
    </row>
    <row r="64" spans="2:12" s="2" customFormat="1">
      <c r="B64" s="794" t="s">
        <v>177</v>
      </c>
      <c r="C64" s="160" t="s">
        <v>128</v>
      </c>
      <c r="D64" s="629">
        <f t="shared" ref="D64:K64" si="5">SUM(D48:D63)</f>
        <v>-0.14923003800000134</v>
      </c>
      <c r="E64" s="630">
        <f t="shared" si="5"/>
        <v>-28.976798071959998</v>
      </c>
      <c r="F64" s="630">
        <f t="shared" si="5"/>
        <v>-27.092448619999999</v>
      </c>
      <c r="G64" s="630">
        <f t="shared" si="5"/>
        <v>-26.979864952727802</v>
      </c>
      <c r="H64" s="630">
        <f t="shared" si="5"/>
        <v>0</v>
      </c>
      <c r="I64" s="630">
        <f t="shared" si="5"/>
        <v>0</v>
      </c>
      <c r="J64" s="630">
        <f t="shared" si="5"/>
        <v>0</v>
      </c>
      <c r="K64" s="631">
        <f t="shared" si="5"/>
        <v>0</v>
      </c>
      <c r="L64" s="59"/>
    </row>
    <row r="65" spans="1:12" s="2" customFormat="1">
      <c r="B65" s="235"/>
      <c r="C65" s="146"/>
      <c r="D65" s="57"/>
      <c r="E65" s="57"/>
      <c r="F65" s="57"/>
      <c r="G65" s="57"/>
      <c r="H65" s="57"/>
      <c r="I65" s="57"/>
      <c r="J65" s="57"/>
      <c r="K65" s="57"/>
      <c r="L65" s="59"/>
    </row>
    <row r="66" spans="1:12" s="2" customFormat="1">
      <c r="B66" s="794" t="s">
        <v>146</v>
      </c>
      <c r="C66" s="160" t="s">
        <v>128</v>
      </c>
      <c r="D66" s="650">
        <f t="shared" ref="D66:K66" si="6">D33+D45+D64</f>
        <v>324.26075117199997</v>
      </c>
      <c r="E66" s="651">
        <f t="shared" si="6"/>
        <v>372.20177625299004</v>
      </c>
      <c r="F66" s="651">
        <f t="shared" si="6"/>
        <v>364.43001767999999</v>
      </c>
      <c r="G66" s="651">
        <f t="shared" si="6"/>
        <v>372.1872227572722</v>
      </c>
      <c r="H66" s="651">
        <f t="shared" si="6"/>
        <v>0</v>
      </c>
      <c r="I66" s="651">
        <f t="shared" si="6"/>
        <v>0</v>
      </c>
      <c r="J66" s="651">
        <f t="shared" si="6"/>
        <v>0</v>
      </c>
      <c r="K66" s="652">
        <f t="shared" si="6"/>
        <v>0</v>
      </c>
      <c r="L66" s="59"/>
    </row>
    <row r="67" spans="1:12" s="2" customFormat="1">
      <c r="B67" s="794" t="s">
        <v>194</v>
      </c>
      <c r="C67" s="160" t="s">
        <v>128</v>
      </c>
      <c r="D67" s="653">
        <v>324.3</v>
      </c>
      <c r="E67" s="654">
        <v>372.2</v>
      </c>
      <c r="F67" s="654">
        <v>364.4</v>
      </c>
      <c r="G67" s="654">
        <v>372.2</v>
      </c>
      <c r="H67" s="654"/>
      <c r="I67" s="654"/>
      <c r="J67" s="654"/>
      <c r="K67" s="655"/>
      <c r="L67" s="59"/>
    </row>
    <row r="68" spans="1:12" s="2" customFormat="1">
      <c r="B68" s="235" t="s">
        <v>122</v>
      </c>
      <c r="C68" s="146"/>
      <c r="D68" s="117" t="str">
        <f>IF(ABS(D66-D67)&lt;'RFPR cover'!$F$14,"OK","Error")</f>
        <v>OK</v>
      </c>
      <c r="E68" s="117" t="str">
        <f>IF(ABS(E66-E67)&lt;'RFPR cover'!$F$14,"OK","Error")</f>
        <v>OK</v>
      </c>
      <c r="F68" s="117" t="str">
        <f>IF(ABS(F66-F67)&lt;'RFPR cover'!$F$14,"OK","Error")</f>
        <v>OK</v>
      </c>
      <c r="G68" s="117" t="str">
        <f>IF(ABS(G66-G67)&lt;'RFPR cover'!$F$14,"OK","Error")</f>
        <v>OK</v>
      </c>
      <c r="H68" s="117" t="str">
        <f>IF(ABS(H66-H67)&lt;'RFPR cover'!$F$14,"OK","Error")</f>
        <v>OK</v>
      </c>
      <c r="I68" s="117" t="str">
        <f>IF(ABS(I66-I67)&lt;'RFPR cover'!$F$14,"OK","Error")</f>
        <v>OK</v>
      </c>
      <c r="J68" s="117" t="str">
        <f>IF(ABS(J66-J67)&lt;'RFPR cover'!$F$14,"OK","Error")</f>
        <v>OK</v>
      </c>
      <c r="K68" s="117" t="str">
        <f>IF(ABS(K66-K67)&lt;'RFPR cover'!$F$14,"OK","Error")</f>
        <v>OK</v>
      </c>
      <c r="L68" s="59"/>
    </row>
    <row r="69" spans="1:12" s="2" customFormat="1">
      <c r="B69" s="134"/>
      <c r="C69" s="146"/>
      <c r="D69" s="49"/>
      <c r="E69" s="49"/>
      <c r="F69" s="49"/>
      <c r="G69" s="49"/>
      <c r="H69" s="49"/>
      <c r="I69" s="49"/>
      <c r="J69" s="49"/>
      <c r="K69" s="49"/>
      <c r="L69" s="59"/>
    </row>
    <row r="70" spans="1:12" s="2" customFormat="1">
      <c r="B70" s="134"/>
      <c r="C70" s="144"/>
      <c r="L70" s="55"/>
    </row>
    <row r="71" spans="1:12" s="2" customFormat="1">
      <c r="A71" s="82"/>
      <c r="B71" s="799"/>
      <c r="C71" s="158"/>
      <c r="D71" s="82"/>
      <c r="E71" s="82"/>
      <c r="F71" s="82"/>
      <c r="G71" s="82"/>
      <c r="H71" s="82"/>
      <c r="I71" s="82"/>
      <c r="J71" s="82"/>
      <c r="K71" s="82"/>
      <c r="L71" s="286"/>
    </row>
  </sheetData>
  <conditionalFormatting sqref="D6:K6">
    <cfRule type="expression" dxfId="65" priority="15">
      <formula>AND(D$5="Actuals",E$5="Forecast")</formula>
    </cfRule>
  </conditionalFormatting>
  <conditionalFormatting sqref="D5:K5">
    <cfRule type="expression" dxfId="64" priority="8">
      <formula>AND(D$5="Actuals",E$5="Forecast")</formula>
    </cfRule>
  </conditionalFormatting>
  <conditionalFormatting sqref="G33:K33 D45:K45 D54:K64 D28:H28 D66:K66 G36:K44 G48:K53 D68:K68 G67:K67">
    <cfRule type="expression" dxfId="63" priority="7">
      <formula>D$5="Forecast"</formula>
    </cfRule>
  </conditionalFormatting>
  <conditionalFormatting sqref="I10:K26 I28:K28">
    <cfRule type="expression" dxfId="62" priority="6">
      <formula>I$5="Forecast"</formula>
    </cfRule>
  </conditionalFormatting>
  <conditionalFormatting sqref="H10:H26">
    <cfRule type="expression" dxfId="61" priority="5">
      <formula>H$5="Forecast"</formula>
    </cfRule>
  </conditionalFormatting>
  <conditionalFormatting sqref="G10:G26">
    <cfRule type="expression" dxfId="60" priority="4">
      <formula>G$5="Forecast"</formula>
    </cfRule>
  </conditionalFormatting>
  <conditionalFormatting sqref="D33:F33 D36:F44">
    <cfRule type="expression" dxfId="59" priority="3">
      <formula>D$5="Forecast"</formula>
    </cfRule>
  </conditionalFormatting>
  <conditionalFormatting sqref="D48:F53">
    <cfRule type="expression" dxfId="58" priority="2">
      <formula>D$5="Forecast"</formula>
    </cfRule>
  </conditionalFormatting>
  <conditionalFormatting sqref="D67:F67">
    <cfRule type="expression" dxfId="57" priority="1">
      <formula>D$5="Forecast"</formula>
    </cfRule>
  </conditionalFormatting>
  <pageMargins left="0.70866141732283472" right="0.70866141732283472" top="0.74803149606299213" bottom="0.74803149606299213" header="0.31496062992125984" footer="0.31496062992125984"/>
  <pageSetup paperSize="8" scale="77"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L86"/>
  <sheetViews>
    <sheetView showGridLines="0" zoomScale="80" zoomScaleNormal="80" workbookViewId="0">
      <pane ySplit="6" topLeftCell="A7" activePane="bottomLeft" state="frozen"/>
      <selection activeCell="G29" sqref="G29"/>
      <selection pane="bottomLeft" activeCell="A3" sqref="A3"/>
    </sheetView>
  </sheetViews>
  <sheetFormatPr defaultRowHeight="12.75"/>
  <cols>
    <col min="1" max="1" width="8.375" customWidth="1"/>
    <col min="2" max="2" width="74.5" customWidth="1"/>
    <col min="3" max="3" width="13.375" style="144" customWidth="1"/>
    <col min="4" max="11" width="11.125" customWidth="1"/>
    <col min="12" max="12" width="5" customWidth="1"/>
  </cols>
  <sheetData>
    <row r="1" spans="1:12" s="32" customFormat="1" ht="20.25">
      <c r="A1" s="122" t="s">
        <v>310</v>
      </c>
      <c r="B1" s="124"/>
      <c r="C1" s="156"/>
      <c r="D1" s="124"/>
      <c r="E1" s="124"/>
      <c r="F1" s="124"/>
      <c r="G1" s="124"/>
      <c r="H1" s="124"/>
      <c r="I1" s="124"/>
      <c r="J1" s="124"/>
      <c r="K1" s="124"/>
      <c r="L1" s="125"/>
    </row>
    <row r="2" spans="1:12" s="32" customFormat="1" ht="20.25">
      <c r="A2" s="126" t="str">
        <f>'RFPR cover'!C5</f>
        <v>WPD-SWEST</v>
      </c>
      <c r="B2" s="30"/>
      <c r="C2" s="142"/>
      <c r="D2" s="30"/>
      <c r="E2" s="30"/>
      <c r="F2" s="30"/>
      <c r="G2" s="30"/>
      <c r="H2" s="30"/>
      <c r="I2" s="27"/>
      <c r="J2" s="27"/>
      <c r="K2" s="27"/>
      <c r="L2" s="127"/>
    </row>
    <row r="3" spans="1:12" s="32" customFormat="1" ht="20.25">
      <c r="A3" s="128">
        <f>'RFPR cover'!C7</f>
        <v>2019</v>
      </c>
      <c r="B3" s="129"/>
      <c r="C3" s="157"/>
      <c r="D3" s="129"/>
      <c r="E3" s="129"/>
      <c r="F3" s="129"/>
      <c r="G3" s="129"/>
      <c r="H3" s="129"/>
      <c r="I3" s="29"/>
      <c r="J3" s="29"/>
      <c r="K3" s="29"/>
      <c r="L3" s="130"/>
    </row>
    <row r="4" spans="1:12" s="2" customFormat="1" ht="12.75" customHeight="1">
      <c r="C4" s="144"/>
    </row>
    <row r="5" spans="1:12" s="2" customFormat="1">
      <c r="B5" s="3"/>
      <c r="C5" s="144"/>
      <c r="D5" s="410" t="str">
        <f>IF(D6&lt;='RFPR cover'!$C$7,"Actuals","N/A")</f>
        <v>Actuals</v>
      </c>
      <c r="E5" s="411" t="str">
        <f>IF(E6&lt;='RFPR cover'!$C$7,"Actuals","N/A")</f>
        <v>Actuals</v>
      </c>
      <c r="F5" s="411" t="str">
        <f>IF(F6&lt;='RFPR cover'!$C$7,"Actuals","N/A")</f>
        <v>Actuals</v>
      </c>
      <c r="G5" s="411" t="str">
        <f>IF(G6&lt;='RFPR cover'!$C$7,"Actuals","N/A")</f>
        <v>Actuals</v>
      </c>
      <c r="H5" s="411" t="str">
        <f>IF(H6&lt;='RFPR cover'!$C$7,"Actuals","N/A")</f>
        <v>N/A</v>
      </c>
      <c r="I5" s="411" t="str">
        <f>IF(I6&lt;='RFPR cover'!$C$7,"Actuals","N/A")</f>
        <v>N/A</v>
      </c>
      <c r="J5" s="411" t="str">
        <f>IF(J6&lt;='RFPR cover'!$C$7,"Actuals","N/A")</f>
        <v>N/A</v>
      </c>
      <c r="K5" s="412" t="str">
        <f>IF(K6&lt;='RFPR cover'!$C$7,"Actuals","N/A")</f>
        <v>N/A</v>
      </c>
    </row>
    <row r="6" spans="1:12" s="2" customFormat="1">
      <c r="C6" s="144"/>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c r="C7" s="144"/>
    </row>
    <row r="8" spans="1:12" s="2" customFormat="1">
      <c r="B8" s="52" t="s">
        <v>316</v>
      </c>
      <c r="C8" s="145"/>
      <c r="D8" s="52"/>
      <c r="E8" s="52"/>
      <c r="F8" s="52"/>
      <c r="G8" s="52"/>
      <c r="H8" s="52"/>
      <c r="I8" s="52"/>
      <c r="J8" s="52"/>
      <c r="K8" s="52"/>
      <c r="L8" s="36"/>
    </row>
    <row r="9" spans="1:12" s="2" customFormat="1">
      <c r="B9" s="134" t="s">
        <v>160</v>
      </c>
      <c r="C9" s="160" t="s">
        <v>128</v>
      </c>
      <c r="D9" s="621">
        <v>218.90509999999986</v>
      </c>
      <c r="E9" s="622">
        <v>250.83599999999998</v>
      </c>
      <c r="F9" s="622">
        <v>238.85800000000003</v>
      </c>
      <c r="G9" s="622">
        <v>211.24299999999999</v>
      </c>
      <c r="H9" s="622"/>
      <c r="I9" s="622"/>
      <c r="J9" s="622"/>
      <c r="K9" s="632"/>
    </row>
    <row r="10" spans="1:12" s="2" customFormat="1">
      <c r="B10" s="134" t="s">
        <v>161</v>
      </c>
      <c r="C10" s="160" t="s">
        <v>128</v>
      </c>
      <c r="D10" s="623">
        <v>3.0999999999999996</v>
      </c>
      <c r="E10" s="624">
        <v>2</v>
      </c>
      <c r="F10" s="624">
        <v>8.1999999999999993</v>
      </c>
      <c r="G10" s="624">
        <v>6.2</v>
      </c>
      <c r="H10" s="624"/>
      <c r="I10" s="624"/>
      <c r="J10" s="624"/>
      <c r="K10" s="633"/>
    </row>
    <row r="11" spans="1:12" s="2" customFormat="1" ht="29.25" customHeight="1">
      <c r="B11" s="135" t="s">
        <v>458</v>
      </c>
      <c r="C11" s="160" t="s">
        <v>128</v>
      </c>
      <c r="D11" s="623">
        <v>-2.3889</v>
      </c>
      <c r="E11" s="624">
        <v>0</v>
      </c>
      <c r="F11" s="624">
        <v>0</v>
      </c>
      <c r="G11" s="624">
        <v>0</v>
      </c>
      <c r="H11" s="624"/>
      <c r="I11" s="624"/>
      <c r="J11" s="624"/>
      <c r="K11" s="633"/>
    </row>
    <row r="12" spans="1:12" s="2" customFormat="1">
      <c r="B12" s="134" t="s">
        <v>162</v>
      </c>
      <c r="C12" s="160" t="s">
        <v>128</v>
      </c>
      <c r="D12" s="623">
        <v>-36.664400000000001</v>
      </c>
      <c r="E12" s="624">
        <v>-38.732050890000004</v>
      </c>
      <c r="F12" s="624">
        <v>-37.055998950000003</v>
      </c>
      <c r="G12" s="624">
        <v>-33.293672500000007</v>
      </c>
      <c r="H12" s="624"/>
      <c r="I12" s="624"/>
      <c r="J12" s="624"/>
      <c r="K12" s="633"/>
    </row>
    <row r="13" spans="1:12" s="2" customFormat="1">
      <c r="B13" s="134" t="s">
        <v>163</v>
      </c>
      <c r="C13" s="160" t="s">
        <v>128</v>
      </c>
      <c r="D13" s="623">
        <v>-0.30099999999999999</v>
      </c>
      <c r="E13" s="624">
        <v>0.46400000000000002</v>
      </c>
      <c r="F13" s="624">
        <v>0.64200000000000002</v>
      </c>
      <c r="G13" s="624">
        <v>2.0569999999999999</v>
      </c>
      <c r="H13" s="624"/>
      <c r="I13" s="624"/>
      <c r="J13" s="624"/>
      <c r="K13" s="633"/>
    </row>
    <row r="14" spans="1:12" s="2" customFormat="1">
      <c r="B14" s="134" t="s">
        <v>164</v>
      </c>
      <c r="C14" s="160" t="s">
        <v>128</v>
      </c>
      <c r="D14" s="659">
        <v>0</v>
      </c>
      <c r="E14" s="660">
        <v>0</v>
      </c>
      <c r="F14" s="660">
        <v>0</v>
      </c>
      <c r="G14" s="660"/>
      <c r="H14" s="660"/>
      <c r="I14" s="660"/>
      <c r="J14" s="660"/>
      <c r="K14" s="661"/>
    </row>
    <row r="15" spans="1:12" s="2" customFormat="1">
      <c r="A15" s="3">
        <v>1</v>
      </c>
      <c r="B15" s="935" t="s">
        <v>243</v>
      </c>
      <c r="C15" s="160" t="s">
        <v>128</v>
      </c>
      <c r="D15" s="621"/>
      <c r="E15" s="622"/>
      <c r="F15" s="622"/>
      <c r="G15" s="622"/>
      <c r="H15" s="622"/>
      <c r="I15" s="622"/>
      <c r="J15" s="622"/>
      <c r="K15" s="632"/>
    </row>
    <row r="16" spans="1:12" s="2" customFormat="1">
      <c r="A16" s="3">
        <v>2</v>
      </c>
      <c r="B16" s="935" t="s">
        <v>243</v>
      </c>
      <c r="C16" s="160" t="s">
        <v>128</v>
      </c>
      <c r="D16" s="623"/>
      <c r="E16" s="624"/>
      <c r="F16" s="624"/>
      <c r="G16" s="624"/>
      <c r="H16" s="624"/>
      <c r="I16" s="624"/>
      <c r="J16" s="624"/>
      <c r="K16" s="633"/>
    </row>
    <row r="17" spans="1:11" s="2" customFormat="1">
      <c r="A17" s="3">
        <v>3</v>
      </c>
      <c r="B17" s="935" t="s">
        <v>243</v>
      </c>
      <c r="C17" s="160" t="s">
        <v>128</v>
      </c>
      <c r="D17" s="623"/>
      <c r="E17" s="624"/>
      <c r="F17" s="624"/>
      <c r="G17" s="624"/>
      <c r="H17" s="624"/>
      <c r="I17" s="624"/>
      <c r="J17" s="624"/>
      <c r="K17" s="633"/>
    </row>
    <row r="18" spans="1:11" s="2" customFormat="1">
      <c r="B18" s="12" t="s">
        <v>165</v>
      </c>
      <c r="C18" s="160" t="s">
        <v>128</v>
      </c>
      <c r="D18" s="662">
        <f>SUM(D9:D17)</f>
        <v>182.65079999999986</v>
      </c>
      <c r="E18" s="663">
        <f t="shared" ref="E18:F18" si="1">SUM(E9:E17)</f>
        <v>214.56794910999997</v>
      </c>
      <c r="F18" s="663">
        <f t="shared" si="1"/>
        <v>210.64400105000001</v>
      </c>
      <c r="G18" s="663">
        <f t="shared" ref="G18:K18" si="2">SUM(G9:G17)</f>
        <v>186.20632749999996</v>
      </c>
      <c r="H18" s="663">
        <f t="shared" si="2"/>
        <v>0</v>
      </c>
      <c r="I18" s="663">
        <f t="shared" si="2"/>
        <v>0</v>
      </c>
      <c r="J18" s="663">
        <f t="shared" si="2"/>
        <v>0</v>
      </c>
      <c r="K18" s="664">
        <f t="shared" si="2"/>
        <v>0</v>
      </c>
    </row>
    <row r="19" spans="1:11" s="2" customFormat="1">
      <c r="B19" s="134" t="s">
        <v>166</v>
      </c>
      <c r="C19" s="160" t="s">
        <v>128</v>
      </c>
      <c r="D19" s="665">
        <v>97.7</v>
      </c>
      <c r="E19" s="666">
        <v>88.6</v>
      </c>
      <c r="F19" s="666">
        <v>99.199999999999974</v>
      </c>
      <c r="G19" s="666">
        <v>111.69999999999999</v>
      </c>
      <c r="H19" s="666"/>
      <c r="I19" s="666"/>
      <c r="J19" s="666"/>
      <c r="K19" s="667"/>
    </row>
    <row r="20" spans="1:11" s="2" customFormat="1">
      <c r="A20" s="3">
        <v>1</v>
      </c>
      <c r="B20" s="935" t="s">
        <v>243</v>
      </c>
      <c r="C20" s="160" t="s">
        <v>128</v>
      </c>
      <c r="D20" s="621"/>
      <c r="E20" s="622"/>
      <c r="F20" s="622"/>
      <c r="G20" s="622"/>
      <c r="H20" s="622"/>
      <c r="I20" s="622"/>
      <c r="J20" s="622"/>
      <c r="K20" s="632"/>
    </row>
    <row r="21" spans="1:11" s="2" customFormat="1">
      <c r="A21" s="3">
        <v>2</v>
      </c>
      <c r="B21" s="935" t="s">
        <v>243</v>
      </c>
      <c r="C21" s="160" t="s">
        <v>128</v>
      </c>
      <c r="D21" s="623"/>
      <c r="E21" s="624"/>
      <c r="F21" s="624"/>
      <c r="G21" s="624"/>
      <c r="H21" s="624"/>
      <c r="I21" s="624"/>
      <c r="J21" s="624"/>
      <c r="K21" s="633"/>
    </row>
    <row r="22" spans="1:11" s="2" customFormat="1">
      <c r="A22" s="3">
        <v>3</v>
      </c>
      <c r="B22" s="935" t="s">
        <v>243</v>
      </c>
      <c r="C22" s="160" t="s">
        <v>128</v>
      </c>
      <c r="D22" s="623"/>
      <c r="E22" s="624"/>
      <c r="F22" s="624"/>
      <c r="G22" s="624"/>
      <c r="H22" s="624"/>
      <c r="I22" s="624"/>
      <c r="J22" s="624"/>
      <c r="K22" s="633"/>
    </row>
    <row r="23" spans="1:11" s="2" customFormat="1">
      <c r="B23" s="12" t="s">
        <v>167</v>
      </c>
      <c r="C23" s="160" t="s">
        <v>128</v>
      </c>
      <c r="D23" s="637">
        <f>SUM(D18:D22)</f>
        <v>280.35079999999988</v>
      </c>
      <c r="E23" s="638">
        <f t="shared" ref="E23:F23" si="3">SUM(E18:E22)</f>
        <v>303.16794911</v>
      </c>
      <c r="F23" s="638">
        <f t="shared" si="3"/>
        <v>309.84400104999997</v>
      </c>
      <c r="G23" s="638">
        <f t="shared" ref="G23:K23" si="4">SUM(G18:G22)</f>
        <v>297.90632749999997</v>
      </c>
      <c r="H23" s="638">
        <f t="shared" si="4"/>
        <v>0</v>
      </c>
      <c r="I23" s="638">
        <f t="shared" si="4"/>
        <v>0</v>
      </c>
      <c r="J23" s="638">
        <f t="shared" si="4"/>
        <v>0</v>
      </c>
      <c r="K23" s="639">
        <f t="shared" si="4"/>
        <v>0</v>
      </c>
    </row>
    <row r="24" spans="1:11" s="2" customFormat="1">
      <c r="C24" s="144"/>
      <c r="D24" s="53"/>
      <c r="E24" s="53"/>
      <c r="F24" s="53"/>
      <c r="G24" s="53"/>
      <c r="H24" s="53"/>
      <c r="I24" s="53"/>
      <c r="J24" s="53"/>
      <c r="K24" s="53"/>
    </row>
    <row r="25" spans="1:11" s="2" customFormat="1">
      <c r="B25" s="12" t="s">
        <v>448</v>
      </c>
      <c r="C25" s="160" t="s">
        <v>128</v>
      </c>
      <c r="D25" s="55"/>
    </row>
    <row r="26" spans="1:11" s="2" customFormat="1">
      <c r="A26" s="3">
        <v>1</v>
      </c>
      <c r="B26" s="935" t="s">
        <v>552</v>
      </c>
      <c r="C26" s="160" t="s">
        <v>128</v>
      </c>
      <c r="D26" s="621">
        <v>1.2522</v>
      </c>
      <c r="E26" s="622">
        <v>-0.5</v>
      </c>
      <c r="F26" s="622">
        <v>-0.2</v>
      </c>
      <c r="G26" s="622">
        <v>-1</v>
      </c>
      <c r="H26" s="622"/>
      <c r="I26" s="622"/>
      <c r="J26" s="622"/>
      <c r="K26" s="632"/>
    </row>
    <row r="27" spans="1:11" s="2" customFormat="1">
      <c r="A27" s="3">
        <v>2</v>
      </c>
      <c r="B27" s="935" t="s">
        <v>553</v>
      </c>
      <c r="C27" s="160" t="s">
        <v>128</v>
      </c>
      <c r="D27" s="623">
        <v>-8.8451939999999993</v>
      </c>
      <c r="E27" s="624">
        <v>-10.25974302</v>
      </c>
      <c r="F27" s="624">
        <v>-9.6650935399999991</v>
      </c>
      <c r="G27" s="624">
        <v>-10.479960330000001</v>
      </c>
      <c r="H27" s="624"/>
      <c r="I27" s="624"/>
      <c r="J27" s="624"/>
      <c r="K27" s="633"/>
    </row>
    <row r="28" spans="1:11" s="2" customFormat="1">
      <c r="A28" s="3">
        <v>3</v>
      </c>
      <c r="B28" s="935" t="s">
        <v>554</v>
      </c>
      <c r="C28" s="160" t="s">
        <v>128</v>
      </c>
      <c r="D28" s="623">
        <v>53.238700000000009</v>
      </c>
      <c r="E28" s="624">
        <v>-1.0814236025000028</v>
      </c>
      <c r="F28" s="624">
        <v>2.07898505</v>
      </c>
      <c r="G28" s="624">
        <v>-2.2346138600000001</v>
      </c>
      <c r="H28" s="624"/>
      <c r="I28" s="624"/>
      <c r="J28" s="624"/>
      <c r="K28" s="633"/>
    </row>
    <row r="29" spans="1:11" s="2" customFormat="1">
      <c r="A29" s="3">
        <v>4</v>
      </c>
      <c r="B29" s="935" t="s">
        <v>555</v>
      </c>
      <c r="C29" s="160" t="s">
        <v>128</v>
      </c>
      <c r="D29" s="623">
        <v>-0.25964577</v>
      </c>
      <c r="E29" s="624">
        <v>-0.53405100000000005</v>
      </c>
      <c r="F29" s="624">
        <v>-7.650860000000001E-2</v>
      </c>
      <c r="G29" s="624">
        <v>0.41265855000000001</v>
      </c>
      <c r="H29" s="624"/>
      <c r="I29" s="624"/>
      <c r="J29" s="624"/>
      <c r="K29" s="633"/>
    </row>
    <row r="30" spans="1:11" s="2" customFormat="1">
      <c r="A30" s="3">
        <v>5</v>
      </c>
      <c r="B30" s="935" t="s">
        <v>556</v>
      </c>
      <c r="C30" s="160" t="s">
        <v>128</v>
      </c>
      <c r="D30" s="623">
        <v>0.21889239150000006</v>
      </c>
      <c r="E30" s="624">
        <v>-0.61413521749999977</v>
      </c>
      <c r="F30" s="624">
        <v>-0.99404895750000011</v>
      </c>
      <c r="G30" s="624">
        <v>-1.0639627325000003</v>
      </c>
      <c r="H30" s="624"/>
      <c r="I30" s="624"/>
      <c r="J30" s="624"/>
      <c r="K30" s="633"/>
    </row>
    <row r="31" spans="1:11" s="2" customFormat="1">
      <c r="A31" s="3">
        <v>6</v>
      </c>
      <c r="B31" s="935" t="s">
        <v>557</v>
      </c>
      <c r="C31" s="160" t="s">
        <v>128</v>
      </c>
      <c r="D31" s="623">
        <v>-1.9776003519999996</v>
      </c>
      <c r="E31" s="624">
        <v>-2.6860033630000002</v>
      </c>
      <c r="F31" s="624">
        <v>-2.7193234500000001</v>
      </c>
      <c r="G31" s="624">
        <v>-5.7949796899999999</v>
      </c>
      <c r="H31" s="624"/>
      <c r="I31" s="624"/>
      <c r="J31" s="624"/>
      <c r="K31" s="633"/>
    </row>
    <row r="32" spans="1:11" s="2" customFormat="1">
      <c r="A32" s="3">
        <v>7</v>
      </c>
      <c r="B32" s="935" t="s">
        <v>558</v>
      </c>
      <c r="C32" s="160" t="s">
        <v>128</v>
      </c>
      <c r="D32" s="623">
        <v>0.76088299999999998</v>
      </c>
      <c r="E32" s="624">
        <v>0.63873232000999991</v>
      </c>
      <c r="F32" s="624">
        <v>0.49299996000000001</v>
      </c>
      <c r="G32" s="624">
        <v>0.52687464000000006</v>
      </c>
      <c r="H32" s="624"/>
      <c r="I32" s="624"/>
      <c r="J32" s="624"/>
      <c r="K32" s="633"/>
    </row>
    <row r="33" spans="1:11" s="2" customFormat="1">
      <c r="A33" s="3">
        <v>8</v>
      </c>
      <c r="B33" s="935" t="s">
        <v>559</v>
      </c>
      <c r="C33" s="160" t="s">
        <v>128</v>
      </c>
      <c r="D33" s="623">
        <v>-0.55139538509198327</v>
      </c>
      <c r="E33" s="624">
        <v>-0.66415934379722696</v>
      </c>
      <c r="F33" s="624">
        <v>-0.39302118078635234</v>
      </c>
      <c r="G33" s="624">
        <v>-0.26235836656454009</v>
      </c>
      <c r="H33" s="624"/>
      <c r="I33" s="624"/>
      <c r="J33" s="624"/>
      <c r="K33" s="633"/>
    </row>
    <row r="34" spans="1:11" s="2" customFormat="1">
      <c r="A34" s="3">
        <v>9</v>
      </c>
      <c r="B34" s="935" t="s">
        <v>560</v>
      </c>
      <c r="C34" s="160" t="s">
        <v>128</v>
      </c>
      <c r="D34" s="623">
        <v>-6.7569460931915879</v>
      </c>
      <c r="E34" s="624">
        <v>-3.4819500000000003</v>
      </c>
      <c r="F34" s="624">
        <v>3.0999499999999998</v>
      </c>
      <c r="G34" s="624">
        <v>0.62856900000000016</v>
      </c>
      <c r="H34" s="624"/>
      <c r="I34" s="624"/>
      <c r="J34" s="624"/>
      <c r="K34" s="633"/>
    </row>
    <row r="35" spans="1:11" s="2" customFormat="1">
      <c r="A35" s="3">
        <v>10</v>
      </c>
      <c r="B35" s="935" t="s">
        <v>561</v>
      </c>
      <c r="C35" s="160" t="s">
        <v>128</v>
      </c>
      <c r="D35" s="623">
        <v>-12.372441754686406</v>
      </c>
      <c r="E35" s="624">
        <v>42.747999868344074</v>
      </c>
      <c r="F35" s="624">
        <v>0</v>
      </c>
      <c r="G35" s="624">
        <v>42.839547997515787</v>
      </c>
      <c r="H35" s="624"/>
      <c r="I35" s="624"/>
      <c r="J35" s="624"/>
      <c r="K35" s="633"/>
    </row>
    <row r="36" spans="1:11" s="2" customFormat="1">
      <c r="A36" s="3">
        <v>11</v>
      </c>
      <c r="B36" s="935" t="s">
        <v>562</v>
      </c>
      <c r="C36" s="160" t="s">
        <v>128</v>
      </c>
      <c r="D36" s="623">
        <v>0</v>
      </c>
      <c r="E36" s="624">
        <v>59.357008637158039</v>
      </c>
      <c r="F36" s="624">
        <v>-15.377718061606554</v>
      </c>
      <c r="G36" s="624">
        <v>-0.58652125016417855</v>
      </c>
      <c r="H36" s="624"/>
      <c r="I36" s="624"/>
      <c r="J36" s="624"/>
      <c r="K36" s="633"/>
    </row>
    <row r="37" spans="1:11" s="2" customFormat="1">
      <c r="A37" s="3">
        <v>12</v>
      </c>
      <c r="B37" s="935" t="s">
        <v>563</v>
      </c>
      <c r="C37" s="160" t="s">
        <v>128</v>
      </c>
      <c r="D37" s="623">
        <v>0</v>
      </c>
      <c r="E37" s="624">
        <v>-0.71853896250000004</v>
      </c>
      <c r="F37" s="624">
        <v>-5.9908820016485187</v>
      </c>
      <c r="G37" s="624">
        <v>-5.4153558960123913</v>
      </c>
      <c r="H37" s="624"/>
      <c r="I37" s="624"/>
      <c r="J37" s="624"/>
      <c r="K37" s="633"/>
    </row>
    <row r="38" spans="1:11" s="2" customFormat="1">
      <c r="A38" s="3">
        <v>13</v>
      </c>
      <c r="B38" s="935" t="s">
        <v>564</v>
      </c>
      <c r="C38" s="160" t="s">
        <v>128</v>
      </c>
      <c r="D38" s="623">
        <v>0</v>
      </c>
      <c r="E38" s="624">
        <v>0</v>
      </c>
      <c r="F38" s="624">
        <v>-0.86984739427790825</v>
      </c>
      <c r="G38" s="624">
        <v>-0.35026929186895583</v>
      </c>
      <c r="H38" s="624"/>
      <c r="I38" s="624"/>
      <c r="J38" s="624"/>
      <c r="K38" s="633"/>
    </row>
    <row r="39" spans="1:11" s="2" customFormat="1">
      <c r="A39" s="3">
        <v>14</v>
      </c>
      <c r="B39" s="935" t="s">
        <v>565</v>
      </c>
      <c r="C39" s="160" t="s">
        <v>128</v>
      </c>
      <c r="D39" s="623">
        <v>-0.9000999999999999</v>
      </c>
      <c r="E39" s="624">
        <v>0</v>
      </c>
      <c r="F39" s="624">
        <v>0</v>
      </c>
      <c r="G39" s="624">
        <v>0</v>
      </c>
      <c r="H39" s="624"/>
      <c r="I39" s="624"/>
      <c r="J39" s="624"/>
      <c r="K39" s="633"/>
    </row>
    <row r="40" spans="1:11" s="2" customFormat="1">
      <c r="A40" s="3">
        <v>15</v>
      </c>
      <c r="B40" s="935" t="s">
        <v>566</v>
      </c>
      <c r="C40" s="160" t="s">
        <v>128</v>
      </c>
      <c r="D40" s="623">
        <v>0.5</v>
      </c>
      <c r="E40" s="624">
        <v>0.35</v>
      </c>
      <c r="F40" s="624">
        <v>2.2000000000000002</v>
      </c>
      <c r="G40" s="624">
        <v>0.18621948519989928</v>
      </c>
      <c r="H40" s="624"/>
      <c r="I40" s="624"/>
      <c r="J40" s="624"/>
      <c r="K40" s="633"/>
    </row>
    <row r="41" spans="1:11" s="2" customFormat="1">
      <c r="A41" s="3">
        <v>16</v>
      </c>
      <c r="B41" s="938" t="s">
        <v>608</v>
      </c>
      <c r="C41" s="160" t="s">
        <v>128</v>
      </c>
      <c r="D41" s="623"/>
      <c r="E41" s="624"/>
      <c r="F41" s="624"/>
      <c r="G41" s="624">
        <v>-1.5</v>
      </c>
      <c r="H41" s="624"/>
      <c r="I41" s="624"/>
      <c r="J41" s="624"/>
      <c r="K41" s="633"/>
    </row>
    <row r="42" spans="1:11" s="2" customFormat="1">
      <c r="A42" s="3">
        <v>17</v>
      </c>
      <c r="B42" s="935" t="s">
        <v>243</v>
      </c>
      <c r="C42" s="160" t="s">
        <v>128</v>
      </c>
      <c r="D42" s="623"/>
      <c r="E42" s="624"/>
      <c r="F42" s="624"/>
      <c r="G42" s="624"/>
      <c r="H42" s="624"/>
      <c r="I42" s="624"/>
      <c r="J42" s="624"/>
      <c r="K42" s="633"/>
    </row>
    <row r="43" spans="1:11" s="2" customFormat="1">
      <c r="A43" s="3">
        <v>18</v>
      </c>
      <c r="B43" s="935" t="s">
        <v>243</v>
      </c>
      <c r="C43" s="160" t="s">
        <v>128</v>
      </c>
      <c r="D43" s="623"/>
      <c r="E43" s="624"/>
      <c r="F43" s="624"/>
      <c r="G43" s="624"/>
      <c r="H43" s="624"/>
      <c r="I43" s="624"/>
      <c r="J43" s="624"/>
      <c r="K43" s="633"/>
    </row>
    <row r="44" spans="1:11" s="2" customFormat="1">
      <c r="A44" s="3">
        <v>19</v>
      </c>
      <c r="B44" s="935" t="s">
        <v>243</v>
      </c>
      <c r="C44" s="160" t="s">
        <v>128</v>
      </c>
      <c r="D44" s="623"/>
      <c r="E44" s="624"/>
      <c r="F44" s="624"/>
      <c r="G44" s="624"/>
      <c r="H44" s="624"/>
      <c r="I44" s="624"/>
      <c r="J44" s="624"/>
      <c r="K44" s="633"/>
    </row>
    <row r="45" spans="1:11" s="2" customFormat="1">
      <c r="A45" s="3">
        <v>20</v>
      </c>
      <c r="B45" s="935" t="s">
        <v>243</v>
      </c>
      <c r="C45" s="160" t="s">
        <v>128</v>
      </c>
      <c r="D45" s="623"/>
      <c r="E45" s="624"/>
      <c r="F45" s="624"/>
      <c r="G45" s="624"/>
      <c r="H45" s="624"/>
      <c r="I45" s="624"/>
      <c r="J45" s="624"/>
      <c r="K45" s="633"/>
    </row>
    <row r="46" spans="1:11" s="2" customFormat="1">
      <c r="B46" s="12" t="s">
        <v>401</v>
      </c>
      <c r="C46" s="160" t="s">
        <v>128</v>
      </c>
      <c r="D46" s="637">
        <f>SUM(D26:D45)</f>
        <v>24.30735203653003</v>
      </c>
      <c r="E46" s="638">
        <f t="shared" ref="E46:F46" si="5">SUM(E26:E45)</f>
        <v>82.553736316214867</v>
      </c>
      <c r="F46" s="638">
        <f t="shared" si="5"/>
        <v>-28.414508175819332</v>
      </c>
      <c r="G46" s="638">
        <f t="shared" ref="G46:K46" si="6">SUM(G26:G45)</f>
        <v>15.905848255605619</v>
      </c>
      <c r="H46" s="638">
        <f t="shared" si="6"/>
        <v>0</v>
      </c>
      <c r="I46" s="638">
        <f t="shared" si="6"/>
        <v>0</v>
      </c>
      <c r="J46" s="638">
        <f t="shared" si="6"/>
        <v>0</v>
      </c>
      <c r="K46" s="639">
        <f t="shared" si="6"/>
        <v>0</v>
      </c>
    </row>
    <row r="47" spans="1:11" s="2" customFormat="1">
      <c r="C47" s="144"/>
      <c r="D47" s="54"/>
      <c r="E47" s="53"/>
      <c r="F47" s="53"/>
      <c r="G47" s="53"/>
      <c r="H47" s="53"/>
      <c r="I47" s="53"/>
      <c r="J47" s="53"/>
      <c r="K47" s="53"/>
    </row>
    <row r="48" spans="1:11" s="2" customFormat="1">
      <c r="B48" s="12" t="s">
        <v>447</v>
      </c>
      <c r="C48" s="160" t="s">
        <v>128</v>
      </c>
      <c r="D48" s="637">
        <f>D46+D23</f>
        <v>304.65815203652988</v>
      </c>
      <c r="E48" s="638">
        <f t="shared" ref="E48:F48" si="7">E46+E23</f>
        <v>385.72168542621489</v>
      </c>
      <c r="F48" s="638">
        <f t="shared" si="7"/>
        <v>281.42949287418065</v>
      </c>
      <c r="G48" s="638">
        <f t="shared" ref="G48:K48" si="8">G46+G23</f>
        <v>313.81217575560561</v>
      </c>
      <c r="H48" s="638">
        <f t="shared" si="8"/>
        <v>0</v>
      </c>
      <c r="I48" s="638">
        <f t="shared" si="8"/>
        <v>0</v>
      </c>
      <c r="J48" s="638">
        <f t="shared" si="8"/>
        <v>0</v>
      </c>
      <c r="K48" s="639">
        <f t="shared" si="8"/>
        <v>0</v>
      </c>
    </row>
    <row r="49" spans="1:11" s="2" customFormat="1">
      <c r="B49" s="2" t="s">
        <v>402</v>
      </c>
      <c r="C49" s="160" t="s">
        <v>128</v>
      </c>
      <c r="D49" s="621">
        <v>304.69439999999997</v>
      </c>
      <c r="E49" s="622">
        <v>385.73111999999992</v>
      </c>
      <c r="F49" s="622">
        <v>281.40394599999996</v>
      </c>
      <c r="G49" s="622">
        <v>313.81720052983587</v>
      </c>
      <c r="H49" s="622"/>
      <c r="I49" s="622"/>
      <c r="J49" s="622"/>
      <c r="K49" s="632"/>
    </row>
    <row r="50" spans="1:11" s="2" customFormat="1">
      <c r="C50" s="144" t="s">
        <v>405</v>
      </c>
      <c r="D50" s="668" t="str">
        <f>IF(D$5="Actuals",IF(ABS(D48-D49)&lt;1,"OK","ERROR"),"N/A")</f>
        <v>OK</v>
      </c>
      <c r="E50" s="669" t="str">
        <f t="shared" ref="E50:F50" si="9">IF(E$5="Actuals",IF(ABS(E48-E49)&lt;1,"OK","ERROR"),"N/A")</f>
        <v>OK</v>
      </c>
      <c r="F50" s="669" t="str">
        <f t="shared" si="9"/>
        <v>OK</v>
      </c>
      <c r="G50" s="669" t="str">
        <f t="shared" ref="G50:K50" si="10">IF(G$5="Actuals",IF(ABS(G48-G49)&lt;1,"OK","ERROR"),"N/A")</f>
        <v>OK</v>
      </c>
      <c r="H50" s="669" t="str">
        <f t="shared" si="10"/>
        <v>N/A</v>
      </c>
      <c r="I50" s="669" t="str">
        <f t="shared" si="10"/>
        <v>N/A</v>
      </c>
      <c r="J50" s="669" t="str">
        <f t="shared" si="10"/>
        <v>N/A</v>
      </c>
      <c r="K50" s="670" t="str">
        <f t="shared" si="10"/>
        <v>N/A</v>
      </c>
    </row>
    <row r="51" spans="1:11" s="2" customFormat="1">
      <c r="B51" s="2" t="s">
        <v>84</v>
      </c>
      <c r="C51" s="144"/>
      <c r="D51" s="55"/>
    </row>
    <row r="52" spans="1:11" s="2" customFormat="1">
      <c r="B52" s="12" t="s">
        <v>403</v>
      </c>
      <c r="C52" s="160"/>
      <c r="D52" s="55"/>
    </row>
    <row r="53" spans="1:11" s="2" customFormat="1">
      <c r="A53" s="3">
        <v>1</v>
      </c>
      <c r="B53" s="935" t="s">
        <v>567</v>
      </c>
      <c r="C53" s="160" t="s">
        <v>128</v>
      </c>
      <c r="D53" s="621">
        <v>25.5472</v>
      </c>
      <c r="E53" s="622">
        <v>25.741199999999999</v>
      </c>
      <c r="F53" s="622">
        <v>29.0656</v>
      </c>
      <c r="G53" s="622">
        <v>29.615399999999998</v>
      </c>
      <c r="H53" s="622"/>
      <c r="I53" s="622"/>
      <c r="J53" s="622"/>
      <c r="K53" s="632"/>
    </row>
    <row r="54" spans="1:11" s="2" customFormat="1">
      <c r="A54" s="3">
        <v>2</v>
      </c>
      <c r="B54" s="935" t="s">
        <v>568</v>
      </c>
      <c r="C54" s="160" t="s">
        <v>128</v>
      </c>
      <c r="D54" s="623">
        <v>39.034700000000001</v>
      </c>
      <c r="E54" s="624">
        <v>82.992800000000003</v>
      </c>
      <c r="F54" s="624">
        <v>-1.92732803</v>
      </c>
      <c r="G54" s="624">
        <v>41.313564209999996</v>
      </c>
      <c r="H54" s="624"/>
      <c r="I54" s="624"/>
      <c r="J54" s="624"/>
      <c r="K54" s="633"/>
    </row>
    <row r="55" spans="1:11" s="2" customFormat="1">
      <c r="A55" s="3">
        <v>3</v>
      </c>
      <c r="B55" s="935" t="s">
        <v>569</v>
      </c>
      <c r="C55" s="160" t="s">
        <v>128</v>
      </c>
      <c r="D55" s="623">
        <v>10.561999999999999</v>
      </c>
      <c r="E55" s="624">
        <v>11.026100000000003</v>
      </c>
      <c r="F55" s="624">
        <v>14.318161039413589</v>
      </c>
      <c r="G55" s="624">
        <v>15.35345938257251</v>
      </c>
      <c r="H55" s="624"/>
      <c r="I55" s="624"/>
      <c r="J55" s="624"/>
      <c r="K55" s="633"/>
    </row>
    <row r="56" spans="1:11" s="2" customFormat="1">
      <c r="A56" s="3">
        <v>4</v>
      </c>
      <c r="B56" s="935" t="s">
        <v>570</v>
      </c>
      <c r="C56" s="160" t="s">
        <v>128</v>
      </c>
      <c r="D56" s="623">
        <v>6.4107000000000003</v>
      </c>
      <c r="E56" s="624">
        <v>5.6744999999999992</v>
      </c>
      <c r="F56" s="624">
        <v>5.5887677399999998</v>
      </c>
      <c r="G56" s="624">
        <v>5.4618687109872024</v>
      </c>
      <c r="H56" s="624"/>
      <c r="I56" s="624"/>
      <c r="J56" s="624"/>
      <c r="K56" s="633"/>
    </row>
    <row r="57" spans="1:11" s="2" customFormat="1">
      <c r="A57" s="3">
        <v>5</v>
      </c>
      <c r="B57" s="545" t="s">
        <v>243</v>
      </c>
      <c r="C57" s="160" t="s">
        <v>128</v>
      </c>
      <c r="D57" s="623"/>
      <c r="E57" s="624"/>
      <c r="F57" s="624"/>
      <c r="G57" s="624"/>
      <c r="H57" s="624"/>
      <c r="I57" s="624"/>
      <c r="J57" s="624"/>
      <c r="K57" s="633"/>
    </row>
    <row r="58" spans="1:11" s="2" customFormat="1">
      <c r="A58" s="3">
        <v>6</v>
      </c>
      <c r="B58" s="545" t="s">
        <v>243</v>
      </c>
      <c r="C58" s="160" t="s">
        <v>128</v>
      </c>
      <c r="D58" s="623"/>
      <c r="E58" s="624"/>
      <c r="F58" s="624"/>
      <c r="G58" s="624"/>
      <c r="H58" s="624"/>
      <c r="I58" s="624"/>
      <c r="J58" s="624"/>
      <c r="K58" s="633"/>
    </row>
    <row r="59" spans="1:11" s="2" customFormat="1">
      <c r="A59" s="3">
        <v>7</v>
      </c>
      <c r="B59" s="545" t="s">
        <v>243</v>
      </c>
      <c r="C59" s="160" t="s">
        <v>128</v>
      </c>
      <c r="D59" s="623"/>
      <c r="E59" s="624"/>
      <c r="F59" s="624"/>
      <c r="G59" s="624"/>
      <c r="H59" s="624"/>
      <c r="I59" s="624"/>
      <c r="J59" s="624"/>
      <c r="K59" s="633"/>
    </row>
    <row r="60" spans="1:11" s="2" customFormat="1">
      <c r="A60" s="3">
        <v>8</v>
      </c>
      <c r="B60" s="545" t="s">
        <v>243</v>
      </c>
      <c r="C60" s="160" t="s">
        <v>128</v>
      </c>
      <c r="D60" s="623"/>
      <c r="E60" s="624"/>
      <c r="F60" s="624"/>
      <c r="G60" s="624"/>
      <c r="H60" s="624"/>
      <c r="I60" s="624"/>
      <c r="J60" s="624"/>
      <c r="K60" s="633"/>
    </row>
    <row r="61" spans="1:11" s="2" customFormat="1">
      <c r="A61" s="3">
        <v>9</v>
      </c>
      <c r="B61" s="545" t="s">
        <v>243</v>
      </c>
      <c r="C61" s="160" t="s">
        <v>128</v>
      </c>
      <c r="D61" s="623"/>
      <c r="E61" s="624"/>
      <c r="F61" s="624"/>
      <c r="G61" s="624"/>
      <c r="H61" s="624"/>
      <c r="I61" s="624"/>
      <c r="J61" s="624"/>
      <c r="K61" s="633"/>
    </row>
    <row r="62" spans="1:11" s="2" customFormat="1">
      <c r="A62" s="3">
        <v>10</v>
      </c>
      <c r="B62" s="545" t="s">
        <v>243</v>
      </c>
      <c r="C62" s="160" t="s">
        <v>128</v>
      </c>
      <c r="D62" s="623"/>
      <c r="E62" s="624"/>
      <c r="F62" s="624"/>
      <c r="G62" s="624"/>
      <c r="H62" s="624"/>
      <c r="I62" s="624"/>
      <c r="J62" s="624"/>
      <c r="K62" s="633"/>
    </row>
    <row r="63" spans="1:11" s="2" customFormat="1">
      <c r="A63" s="3">
        <v>11</v>
      </c>
      <c r="B63" s="545" t="s">
        <v>243</v>
      </c>
      <c r="C63" s="160" t="s">
        <v>128</v>
      </c>
      <c r="D63" s="623"/>
      <c r="E63" s="624"/>
      <c r="F63" s="624"/>
      <c r="G63" s="624"/>
      <c r="H63" s="624"/>
      <c r="I63" s="624"/>
      <c r="J63" s="624"/>
      <c r="K63" s="633"/>
    </row>
    <row r="64" spans="1:11" s="2" customFormat="1">
      <c r="A64" s="3">
        <v>12</v>
      </c>
      <c r="B64" s="545" t="s">
        <v>243</v>
      </c>
      <c r="C64" s="160" t="s">
        <v>128</v>
      </c>
      <c r="D64" s="623"/>
      <c r="E64" s="624"/>
      <c r="F64" s="624"/>
      <c r="G64" s="624"/>
      <c r="H64" s="624"/>
      <c r="I64" s="624"/>
      <c r="J64" s="624"/>
      <c r="K64" s="633"/>
    </row>
    <row r="65" spans="1:11" s="2" customFormat="1">
      <c r="A65" s="3">
        <v>13</v>
      </c>
      <c r="B65" s="545" t="s">
        <v>243</v>
      </c>
      <c r="C65" s="160" t="s">
        <v>128</v>
      </c>
      <c r="D65" s="623"/>
      <c r="E65" s="624"/>
      <c r="F65" s="624"/>
      <c r="G65" s="624"/>
      <c r="H65" s="624"/>
      <c r="I65" s="624"/>
      <c r="J65" s="624"/>
      <c r="K65" s="633"/>
    </row>
    <row r="66" spans="1:11" s="2" customFormat="1">
      <c r="A66" s="3">
        <v>14</v>
      </c>
      <c r="B66" s="545" t="s">
        <v>243</v>
      </c>
      <c r="C66" s="160" t="s">
        <v>128</v>
      </c>
      <c r="D66" s="623"/>
      <c r="E66" s="624"/>
      <c r="F66" s="624"/>
      <c r="G66" s="624"/>
      <c r="H66" s="624"/>
      <c r="I66" s="624"/>
      <c r="J66" s="624"/>
      <c r="K66" s="633"/>
    </row>
    <row r="67" spans="1:11" s="2" customFormat="1">
      <c r="A67" s="3">
        <v>15</v>
      </c>
      <c r="B67" s="545" t="s">
        <v>243</v>
      </c>
      <c r="C67" s="160" t="s">
        <v>128</v>
      </c>
      <c r="D67" s="623"/>
      <c r="E67" s="624"/>
      <c r="F67" s="624"/>
      <c r="G67" s="624"/>
      <c r="H67" s="624"/>
      <c r="I67" s="624"/>
      <c r="J67" s="624"/>
      <c r="K67" s="633"/>
    </row>
    <row r="68" spans="1:11" s="2" customFormat="1">
      <c r="A68" s="3">
        <v>16</v>
      </c>
      <c r="B68" s="545" t="s">
        <v>243</v>
      </c>
      <c r="C68" s="160" t="s">
        <v>128</v>
      </c>
      <c r="D68" s="623"/>
      <c r="E68" s="624"/>
      <c r="F68" s="624"/>
      <c r="G68" s="624"/>
      <c r="H68" s="624"/>
      <c r="I68" s="624"/>
      <c r="J68" s="624"/>
      <c r="K68" s="633"/>
    </row>
    <row r="69" spans="1:11" s="2" customFormat="1">
      <c r="A69" s="3">
        <v>17</v>
      </c>
      <c r="B69" s="545" t="s">
        <v>243</v>
      </c>
      <c r="C69" s="160" t="s">
        <v>128</v>
      </c>
      <c r="D69" s="623"/>
      <c r="E69" s="624"/>
      <c r="F69" s="624"/>
      <c r="G69" s="624"/>
      <c r="H69" s="624"/>
      <c r="I69" s="624"/>
      <c r="J69" s="624"/>
      <c r="K69" s="633"/>
    </row>
    <row r="70" spans="1:11" s="2" customFormat="1">
      <c r="A70" s="3">
        <v>18</v>
      </c>
      <c r="B70" s="545" t="s">
        <v>243</v>
      </c>
      <c r="C70" s="160" t="s">
        <v>128</v>
      </c>
      <c r="D70" s="623"/>
      <c r="E70" s="624"/>
      <c r="F70" s="624"/>
      <c r="G70" s="624"/>
      <c r="H70" s="624"/>
      <c r="I70" s="624"/>
      <c r="J70" s="624"/>
      <c r="K70" s="633"/>
    </row>
    <row r="71" spans="1:11" s="2" customFormat="1">
      <c r="A71" s="3">
        <v>19</v>
      </c>
      <c r="B71" s="545" t="s">
        <v>243</v>
      </c>
      <c r="C71" s="160" t="s">
        <v>128</v>
      </c>
      <c r="D71" s="623"/>
      <c r="E71" s="624"/>
      <c r="F71" s="624"/>
      <c r="G71" s="624"/>
      <c r="H71" s="624"/>
      <c r="I71" s="624"/>
      <c r="J71" s="624"/>
      <c r="K71" s="633"/>
    </row>
    <row r="72" spans="1:11" s="2" customFormat="1">
      <c r="A72" s="3">
        <v>20</v>
      </c>
      <c r="B72" s="545" t="s">
        <v>243</v>
      </c>
      <c r="C72" s="160" t="s">
        <v>128</v>
      </c>
      <c r="D72" s="623"/>
      <c r="E72" s="624"/>
      <c r="F72" s="624"/>
      <c r="G72" s="624"/>
      <c r="H72" s="624"/>
      <c r="I72" s="624"/>
      <c r="J72" s="624"/>
      <c r="K72" s="633"/>
    </row>
    <row r="73" spans="1:11" s="2" customFormat="1">
      <c r="A73" s="3">
        <v>21</v>
      </c>
      <c r="B73" s="545" t="s">
        <v>243</v>
      </c>
      <c r="C73" s="160" t="s">
        <v>128</v>
      </c>
      <c r="D73" s="623"/>
      <c r="E73" s="624"/>
      <c r="F73" s="624"/>
      <c r="G73" s="624"/>
      <c r="H73" s="624"/>
      <c r="I73" s="624"/>
      <c r="J73" s="624"/>
      <c r="K73" s="633"/>
    </row>
    <row r="74" spans="1:11" s="2" customFormat="1">
      <c r="A74" s="3">
        <v>22</v>
      </c>
      <c r="B74" s="545" t="s">
        <v>243</v>
      </c>
      <c r="C74" s="160" t="s">
        <v>128</v>
      </c>
      <c r="D74" s="623"/>
      <c r="E74" s="624"/>
      <c r="F74" s="624"/>
      <c r="G74" s="624"/>
      <c r="H74" s="624"/>
      <c r="I74" s="624"/>
      <c r="J74" s="624"/>
      <c r="K74" s="633"/>
    </row>
    <row r="75" spans="1:11" s="2" customFormat="1">
      <c r="A75" s="3">
        <v>23</v>
      </c>
      <c r="B75" s="545" t="s">
        <v>243</v>
      </c>
      <c r="C75" s="160" t="s">
        <v>128</v>
      </c>
      <c r="D75" s="623"/>
      <c r="E75" s="624"/>
      <c r="F75" s="624"/>
      <c r="G75" s="624"/>
      <c r="H75" s="624"/>
      <c r="I75" s="624"/>
      <c r="J75" s="624"/>
      <c r="K75" s="633"/>
    </row>
    <row r="76" spans="1:11" s="2" customFormat="1">
      <c r="A76" s="3">
        <v>24</v>
      </c>
      <c r="B76" s="545" t="s">
        <v>243</v>
      </c>
      <c r="C76" s="160" t="s">
        <v>128</v>
      </c>
      <c r="D76" s="623"/>
      <c r="E76" s="624"/>
      <c r="F76" s="624"/>
      <c r="G76" s="624"/>
      <c r="H76" s="624"/>
      <c r="I76" s="624"/>
      <c r="J76" s="624"/>
      <c r="K76" s="633"/>
    </row>
    <row r="77" spans="1:11" s="2" customFormat="1">
      <c r="A77" s="3">
        <v>25</v>
      </c>
      <c r="B77" s="545" t="s">
        <v>243</v>
      </c>
      <c r="C77" s="160" t="s">
        <v>128</v>
      </c>
      <c r="D77" s="659"/>
      <c r="E77" s="660"/>
      <c r="F77" s="660"/>
      <c r="G77" s="660"/>
      <c r="H77" s="660"/>
      <c r="I77" s="660"/>
      <c r="J77" s="660"/>
      <c r="K77" s="661"/>
    </row>
    <row r="78" spans="1:11" s="2" customFormat="1">
      <c r="B78" s="12" t="s">
        <v>171</v>
      </c>
      <c r="C78" s="160" t="s">
        <v>128</v>
      </c>
      <c r="D78" s="637">
        <f>SUM(D53:D77)</f>
        <v>81.554600000000008</v>
      </c>
      <c r="E78" s="638">
        <f t="shared" ref="E78:K78" si="11">SUM(E53:E77)</f>
        <v>125.4346</v>
      </c>
      <c r="F78" s="638">
        <f t="shared" si="11"/>
        <v>47.045200749413588</v>
      </c>
      <c r="G78" s="638">
        <f t="shared" si="11"/>
        <v>91.744292303559703</v>
      </c>
      <c r="H78" s="638">
        <f t="shared" si="11"/>
        <v>0</v>
      </c>
      <c r="I78" s="638">
        <f t="shared" si="11"/>
        <v>0</v>
      </c>
      <c r="J78" s="638">
        <f t="shared" si="11"/>
        <v>0</v>
      </c>
      <c r="K78" s="639">
        <f t="shared" si="11"/>
        <v>0</v>
      </c>
    </row>
    <row r="79" spans="1:11" s="2" customFormat="1">
      <c r="C79" s="144"/>
      <c r="D79" s="54"/>
      <c r="E79" s="53"/>
      <c r="F79" s="53"/>
      <c r="G79" s="53"/>
      <c r="H79" s="53"/>
      <c r="I79" s="53"/>
      <c r="J79" s="53"/>
      <c r="K79" s="53"/>
    </row>
    <row r="80" spans="1:11" s="2" customFormat="1">
      <c r="B80" s="12" t="s">
        <v>404</v>
      </c>
      <c r="C80" s="160" t="s">
        <v>128</v>
      </c>
      <c r="D80" s="637">
        <f>D48-D78</f>
        <v>223.10355203652989</v>
      </c>
      <c r="E80" s="638">
        <f t="shared" ref="E80:K80" si="12">E48-E78</f>
        <v>260.2870854262149</v>
      </c>
      <c r="F80" s="638">
        <f t="shared" si="12"/>
        <v>234.38429212476706</v>
      </c>
      <c r="G80" s="638">
        <f t="shared" si="12"/>
        <v>222.06788345204592</v>
      </c>
      <c r="H80" s="638">
        <f t="shared" si="12"/>
        <v>0</v>
      </c>
      <c r="I80" s="638">
        <f t="shared" si="12"/>
        <v>0</v>
      </c>
      <c r="J80" s="638">
        <f t="shared" si="12"/>
        <v>0</v>
      </c>
      <c r="K80" s="639">
        <f t="shared" si="12"/>
        <v>0</v>
      </c>
    </row>
    <row r="81" spans="2:11" s="2" customFormat="1">
      <c r="B81" s="12" t="s">
        <v>492</v>
      </c>
      <c r="C81" s="160" t="s">
        <v>128</v>
      </c>
      <c r="D81" s="671">
        <f>'R4 - Totex'!D90+'R4 - Totex'!D118</f>
        <v>223.13980000000001</v>
      </c>
      <c r="E81" s="672">
        <f>'R4 - Totex'!E90+'R4 - Totex'!E118</f>
        <v>260.29651999999999</v>
      </c>
      <c r="F81" s="672">
        <f>'R4 - Totex'!F90+'R4 - Totex'!F118</f>
        <v>234.35874164776092</v>
      </c>
      <c r="G81" s="672">
        <f>'R4 - Totex'!G90+'R4 - Totex'!G118</f>
        <v>222.07290822627604</v>
      </c>
      <c r="H81" s="672">
        <f>'R4 - Totex'!H90+'R4 - Totex'!H118</f>
        <v>249.94133972782171</v>
      </c>
      <c r="I81" s="672">
        <f>'R4 - Totex'!I90+'R4 - Totex'!I118</f>
        <v>251.81418669678519</v>
      </c>
      <c r="J81" s="672">
        <f>'R4 - Totex'!J90+'R4 - Totex'!J118</f>
        <v>254.04301438845602</v>
      </c>
      <c r="K81" s="672">
        <f>'R4 - Totex'!K90+'R4 - Totex'!K118</f>
        <v>265.08054218782661</v>
      </c>
    </row>
    <row r="82" spans="2:11" s="2" customFormat="1">
      <c r="C82" s="144" t="s">
        <v>405</v>
      </c>
      <c r="D82" s="599" t="str">
        <f>IF(D$5="Actuals",IF(ABS(D80-('R4 - Totex'!D90+'R4 - Totex'!D118))&lt;'RFPR cover'!$F$14,"OK","Error"),"N/A")</f>
        <v>OK</v>
      </c>
      <c r="E82" s="599" t="str">
        <f>IF(E$5="Actuals",IF(ABS(E80-('R4 - Totex'!E90+'R4 - Totex'!E118))&lt;'RFPR cover'!$F$14,"OK","Error"),"N/A")</f>
        <v>OK</v>
      </c>
      <c r="F82" s="599" t="str">
        <f>IF(F$5="Actuals",IF(ABS(F80-('R4 - Totex'!F90+'R4 - Totex'!F118))&lt;'RFPR cover'!$F$14,"OK","Error"),"N/A")</f>
        <v>OK</v>
      </c>
      <c r="G82" s="599" t="str">
        <f>IF(G$5="Actuals",IF(ABS(G80-('R4 - Totex'!G90+'R4 - Totex'!G118))&lt;'RFPR cover'!$F$14,"OK","Error"),"N/A")</f>
        <v>OK</v>
      </c>
      <c r="H82" s="599" t="str">
        <f>IF(H$5="Actuals",IF(ABS(H80-('R4 - Totex'!H90+'R4 - Totex'!H118))&lt;'RFPR cover'!$F$14,"OK","Error"),"N/A")</f>
        <v>N/A</v>
      </c>
      <c r="I82" s="599" t="str">
        <f>IF(I$5="Actuals",IF(ABS(I80-('R4 - Totex'!I90+'R4 - Totex'!I118))&lt;'RFPR cover'!$F$14,"OK","Error"),"N/A")</f>
        <v>N/A</v>
      </c>
      <c r="J82" s="599" t="str">
        <f>IF(J$5="Actuals",IF(ABS(J80-('R4 - Totex'!J90+'R4 - Totex'!J118))&lt;'RFPR cover'!$F$14,"OK","Error"),"N/A")</f>
        <v>N/A</v>
      </c>
      <c r="K82" s="599" t="str">
        <f>IF(K$5="Actuals",IF(ABS(K80-('R4 - Totex'!K90+'R4 - Totex'!K118))&lt;'RFPR cover'!$F$14,"OK","Error"),"N/A")</f>
        <v>N/A</v>
      </c>
    </row>
    <row r="83" spans="2:11" s="2" customFormat="1">
      <c r="C83" s="144"/>
    </row>
    <row r="84" spans="2:11">
      <c r="D84" s="225"/>
      <c r="E84" s="225"/>
      <c r="F84" s="225"/>
      <c r="G84" s="225"/>
      <c r="H84" s="225"/>
      <c r="I84" s="225"/>
      <c r="J84" s="225"/>
      <c r="K84" s="225"/>
    </row>
    <row r="85" spans="2:11">
      <c r="D85" s="225"/>
      <c r="E85" s="225"/>
      <c r="F85" s="225"/>
      <c r="G85" s="225"/>
      <c r="H85" s="225"/>
      <c r="I85" s="225"/>
      <c r="J85" s="225"/>
      <c r="K85" s="225"/>
    </row>
    <row r="86" spans="2:11">
      <c r="D86" s="225"/>
      <c r="E86" s="225"/>
      <c r="F86" s="225"/>
      <c r="G86" s="225"/>
      <c r="H86" s="225"/>
      <c r="I86" s="225"/>
      <c r="J86" s="225"/>
      <c r="K86" s="225"/>
    </row>
  </sheetData>
  <conditionalFormatting sqref="D6:J6">
    <cfRule type="expression" dxfId="56" priority="22">
      <formula>AND(D$5="Actuals",E$5="N/A")</formula>
    </cfRule>
  </conditionalFormatting>
  <conditionalFormatting sqref="D5:K5">
    <cfRule type="expression" dxfId="55" priority="13">
      <formula>AND(D$5="Actuals",E$5="N/A")</formula>
    </cfRule>
  </conditionalFormatting>
  <conditionalFormatting sqref="G9:K14 G26:K46 G48:K48 D57:K78 D80:K80 D82:K82 G18:K19 G23:K23 H53:K56 G50:K50 H49:K49">
    <cfRule type="expression" dxfId="54" priority="8">
      <formula>D$5="N/A"</formula>
    </cfRule>
  </conditionalFormatting>
  <conditionalFormatting sqref="G15:K17">
    <cfRule type="expression" dxfId="53" priority="7">
      <formula>G$5="N/A"</formula>
    </cfRule>
  </conditionalFormatting>
  <conditionalFormatting sqref="G20:K22">
    <cfRule type="expression" dxfId="52" priority="6">
      <formula>G$5="N/A"</formula>
    </cfRule>
  </conditionalFormatting>
  <conditionalFormatting sqref="D9:F14 D26:F46 D48:F48 D53:F56 D18:F19 D23:F23 D50:F50">
    <cfRule type="expression" dxfId="51" priority="5">
      <formula>D$5="N/A"</formula>
    </cfRule>
  </conditionalFormatting>
  <conditionalFormatting sqref="D15:F17">
    <cfRule type="expression" dxfId="50" priority="4">
      <formula>D$5="N/A"</formula>
    </cfRule>
  </conditionalFormatting>
  <conditionalFormatting sqref="D20:F22">
    <cfRule type="expression" dxfId="49" priority="3">
      <formula>D$5="N/A"</formula>
    </cfRule>
  </conditionalFormatting>
  <conditionalFormatting sqref="G53:G56">
    <cfRule type="expression" dxfId="48" priority="2">
      <formula>G$5="N/A"</formula>
    </cfRule>
  </conditionalFormatting>
  <conditionalFormatting sqref="D49:G49">
    <cfRule type="expression" dxfId="47" priority="1">
      <formula>D$5="N/A"</formula>
    </cfRule>
  </conditionalFormatting>
  <pageMargins left="0.70866141732283472" right="0.70866141732283472" top="0.74803149606299213" bottom="0.74803149606299213" header="0.31496062992125984" footer="0.31496062992125984"/>
  <pageSetup paperSize="8" scale="6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T154"/>
  <sheetViews>
    <sheetView showGridLines="0" zoomScale="80" zoomScaleNormal="80" workbookViewId="0">
      <pane ySplit="6" topLeftCell="A7" activePane="bottomLeft" state="frozen"/>
      <selection activeCell="G29" sqref="G29"/>
      <selection pane="bottomLeft" activeCell="A3" sqref="A3"/>
    </sheetView>
  </sheetViews>
  <sheetFormatPr defaultColWidth="9.125" defaultRowHeight="12.75"/>
  <cols>
    <col min="1" max="1" width="8.375" style="2" customWidth="1"/>
    <col min="2" max="2" width="75.5" style="134" customWidth="1"/>
    <col min="3" max="3" width="13.375" style="144" customWidth="1"/>
    <col min="4" max="11" width="11.125" style="2" customWidth="1"/>
    <col min="12" max="13" width="12.875" style="2" customWidth="1"/>
    <col min="14" max="14" width="25.5" style="2" customWidth="1"/>
    <col min="15" max="16384" width="9.125" style="2"/>
  </cols>
  <sheetData>
    <row r="1" spans="1:20" s="32" customFormat="1" ht="20.25">
      <c r="A1" s="382" t="s">
        <v>99</v>
      </c>
      <c r="B1" s="413"/>
      <c r="C1" s="292"/>
      <c r="D1" s="269"/>
      <c r="E1" s="269"/>
      <c r="F1" s="269"/>
      <c r="G1" s="269"/>
      <c r="H1" s="269"/>
      <c r="I1" s="270"/>
      <c r="J1" s="270"/>
      <c r="K1" s="271"/>
      <c r="L1" s="271"/>
      <c r="M1" s="271"/>
      <c r="N1" s="271"/>
      <c r="O1" s="383"/>
    </row>
    <row r="2" spans="1:20" s="32" customFormat="1" ht="20.25">
      <c r="A2" s="126" t="str">
        <f>'RFPR cover'!C5</f>
        <v>WPD-SWEST</v>
      </c>
      <c r="B2" s="414"/>
      <c r="C2" s="142"/>
      <c r="D2" s="30"/>
      <c r="E2" s="30"/>
      <c r="F2" s="30"/>
      <c r="G2" s="30"/>
      <c r="H2" s="30"/>
      <c r="I2" s="27"/>
      <c r="J2" s="27"/>
      <c r="K2" s="27"/>
      <c r="L2" s="27"/>
      <c r="M2" s="27"/>
      <c r="N2" s="27"/>
      <c r="O2" s="127"/>
    </row>
    <row r="3" spans="1:20" s="32" customFormat="1" ht="20.25">
      <c r="A3" s="273">
        <f>'RFPR cover'!C7</f>
        <v>2019</v>
      </c>
      <c r="B3" s="415"/>
      <c r="C3" s="291"/>
      <c r="D3" s="274"/>
      <c r="E3" s="274"/>
      <c r="F3" s="274"/>
      <c r="G3" s="274"/>
      <c r="H3" s="274"/>
      <c r="I3" s="267"/>
      <c r="J3" s="267"/>
      <c r="K3" s="267"/>
      <c r="L3" s="267"/>
      <c r="M3" s="267"/>
      <c r="N3" s="267"/>
      <c r="O3" s="275"/>
    </row>
    <row r="4" spans="1:20" ht="12.75" customHeight="1"/>
    <row r="5" spans="1:20" ht="12.75" customHeight="1">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20" ht="27.75" customHeight="1">
      <c r="B6" s="800"/>
      <c r="D6" s="119">
        <f>'RFPR cover'!$C$13</f>
        <v>2016</v>
      </c>
      <c r="E6" s="120">
        <f>D6+1</f>
        <v>2017</v>
      </c>
      <c r="F6" s="120">
        <f t="shared" ref="F6:K6" si="0">E6+1</f>
        <v>2018</v>
      </c>
      <c r="G6" s="120">
        <f t="shared" si="0"/>
        <v>2019</v>
      </c>
      <c r="H6" s="120">
        <f t="shared" si="0"/>
        <v>2020</v>
      </c>
      <c r="I6" s="120">
        <f t="shared" si="0"/>
        <v>2021</v>
      </c>
      <c r="J6" s="120">
        <f t="shared" si="0"/>
        <v>2022</v>
      </c>
      <c r="K6" s="120">
        <f t="shared" si="0"/>
        <v>2023</v>
      </c>
      <c r="L6" s="103" t="str">
        <f>"Cumulative to "&amp;'RFPR cover'!$C$7</f>
        <v>Cumulative to 2019</v>
      </c>
      <c r="M6" s="121" t="s">
        <v>109</v>
      </c>
      <c r="N6" s="121" t="s">
        <v>311</v>
      </c>
    </row>
    <row r="7" spans="1:20" s="36" customFormat="1">
      <c r="B7" s="801"/>
      <c r="C7" s="166"/>
      <c r="D7" s="59"/>
      <c r="E7" s="59"/>
      <c r="F7" s="59"/>
      <c r="G7" s="59"/>
      <c r="H7" s="59"/>
      <c r="I7" s="59"/>
      <c r="J7" s="59"/>
      <c r="K7" s="59"/>
      <c r="L7" s="59"/>
      <c r="M7" s="59"/>
      <c r="N7" s="59"/>
    </row>
    <row r="8" spans="1:20" s="36" customFormat="1">
      <c r="B8" s="802" t="s">
        <v>392</v>
      </c>
      <c r="C8" s="306"/>
      <c r="D8" s="340"/>
      <c r="E8" s="340"/>
      <c r="F8" s="340"/>
      <c r="G8" s="340"/>
      <c r="H8" s="340"/>
      <c r="I8" s="340"/>
      <c r="J8" s="340"/>
      <c r="K8" s="340"/>
      <c r="L8" s="340"/>
      <c r="M8" s="340"/>
      <c r="N8" s="340"/>
    </row>
    <row r="9" spans="1:20" s="36" customFormat="1">
      <c r="B9" s="801"/>
      <c r="C9" s="166"/>
      <c r="D9" s="59"/>
      <c r="E9" s="59"/>
      <c r="F9" s="59"/>
      <c r="G9" s="59"/>
      <c r="H9" s="59"/>
      <c r="I9" s="59"/>
      <c r="J9" s="59"/>
      <c r="K9" s="59"/>
      <c r="L9" s="59"/>
      <c r="M9" s="59"/>
      <c r="N9" s="59"/>
    </row>
    <row r="10" spans="1:20">
      <c r="A10" s="36"/>
      <c r="B10" s="803" t="str">
        <f>Data!B48</f>
        <v>Totex</v>
      </c>
      <c r="C10" s="158"/>
      <c r="D10" s="83"/>
      <c r="E10" s="83"/>
      <c r="F10" s="83"/>
      <c r="G10" s="83"/>
      <c r="H10" s="83"/>
      <c r="I10" s="83"/>
      <c r="J10" s="83"/>
      <c r="K10" s="83"/>
      <c r="L10" s="83"/>
      <c r="M10" s="83"/>
      <c r="N10" s="83"/>
    </row>
    <row r="11" spans="1:20" s="36" customFormat="1">
      <c r="B11" s="804"/>
      <c r="C11" s="146"/>
      <c r="D11" s="339"/>
      <c r="E11" s="339"/>
      <c r="F11" s="339"/>
      <c r="G11" s="339"/>
      <c r="H11" s="339"/>
      <c r="I11" s="339"/>
      <c r="J11" s="339"/>
      <c r="K11" s="339"/>
      <c r="L11" s="339"/>
      <c r="M11" s="339"/>
      <c r="N11" s="339"/>
    </row>
    <row r="12" spans="1:20">
      <c r="A12" s="36"/>
      <c r="B12" s="324" t="s">
        <v>34</v>
      </c>
      <c r="C12" s="163" t="str">
        <f>'RFPR cover'!$C$14</f>
        <v>£m 12/13</v>
      </c>
      <c r="D12" s="508">
        <v>210.44636019704512</v>
      </c>
      <c r="E12" s="509">
        <v>240.33952357429652</v>
      </c>
      <c r="F12" s="509">
        <v>208.58514525828971</v>
      </c>
      <c r="G12" s="509">
        <v>191.79016766298196</v>
      </c>
      <c r="H12" s="509">
        <v>210.33700322794996</v>
      </c>
      <c r="I12" s="509">
        <v>206.19128106862999</v>
      </c>
      <c r="J12" s="509">
        <v>201.90856271790997</v>
      </c>
      <c r="K12" s="509">
        <v>204.39580904550002</v>
      </c>
      <c r="L12" s="109">
        <f>SUM(D12:INDEX(D12:K12,0,MATCH('RFPR cover'!$C$7,$D$6:$K$6,0)))</f>
        <v>851.16119669261332</v>
      </c>
      <c r="M12" s="110">
        <f>SUM(D12:K12)</f>
        <v>1673.9938527526033</v>
      </c>
      <c r="N12" s="64"/>
      <c r="O12" s="64"/>
    </row>
    <row r="13" spans="1:20" ht="25.5">
      <c r="A13" s="36"/>
      <c r="B13" s="805" t="s">
        <v>504</v>
      </c>
      <c r="C13" s="163" t="str">
        <f>'RFPR cover'!$C$14</f>
        <v>£m 12/13</v>
      </c>
      <c r="D13" s="510">
        <v>214.69763708067677</v>
      </c>
      <c r="E13" s="511">
        <v>215.30321808555479</v>
      </c>
      <c r="F13" s="511">
        <v>211.32362965118332</v>
      </c>
      <c r="G13" s="511">
        <v>214.43396722689175</v>
      </c>
      <c r="H13" s="511">
        <v>210.66095291492763</v>
      </c>
      <c r="I13" s="511">
        <v>210.0047161211412</v>
      </c>
      <c r="J13" s="511">
        <v>209.8131760264047</v>
      </c>
      <c r="K13" s="511">
        <v>219.71952298508899</v>
      </c>
      <c r="L13" s="107">
        <f>SUM(D13:INDEX(D13:K13,0,MATCH('RFPR cover'!$C$7,$D$6:$K$6,0)))</f>
        <v>855.75845204430652</v>
      </c>
      <c r="M13" s="108">
        <f>SUM(D13:K13)</f>
        <v>1705.9568200918693</v>
      </c>
      <c r="N13" s="64"/>
      <c r="O13" s="64"/>
    </row>
    <row r="14" spans="1:20">
      <c r="A14" s="36"/>
      <c r="B14" s="806" t="s">
        <v>195</v>
      </c>
      <c r="C14" s="163" t="str">
        <f>'RFPR cover'!$C$14</f>
        <v>£m 12/13</v>
      </c>
      <c r="D14" s="104">
        <f>D13-D12</f>
        <v>4.2512768836316468</v>
      </c>
      <c r="E14" s="105">
        <f t="shared" ref="E14:M14" si="1">E13-E12</f>
        <v>-25.036305488741732</v>
      </c>
      <c r="F14" s="105">
        <f t="shared" si="1"/>
        <v>2.7384843928936107</v>
      </c>
      <c r="G14" s="105">
        <f t="shared" si="1"/>
        <v>22.643799563909795</v>
      </c>
      <c r="H14" s="105">
        <f t="shared" si="1"/>
        <v>0.32394968697767013</v>
      </c>
      <c r="I14" s="105">
        <f t="shared" si="1"/>
        <v>3.8134350525112097</v>
      </c>
      <c r="J14" s="105">
        <f t="shared" si="1"/>
        <v>7.9046133084947314</v>
      </c>
      <c r="K14" s="105">
        <f t="shared" si="1"/>
        <v>15.32371393958897</v>
      </c>
      <c r="L14" s="104">
        <f t="shared" si="1"/>
        <v>4.5972553516932066</v>
      </c>
      <c r="M14" s="106">
        <f t="shared" si="1"/>
        <v>31.962967339266015</v>
      </c>
      <c r="N14" s="64"/>
      <c r="O14" s="989"/>
      <c r="P14" s="989"/>
      <c r="Q14" s="989"/>
      <c r="R14"/>
      <c r="S14"/>
      <c r="T14"/>
    </row>
    <row r="15" spans="1:20">
      <c r="A15" s="36"/>
      <c r="B15" s="806"/>
      <c r="C15" s="163"/>
      <c r="D15" s="60"/>
      <c r="E15" s="60"/>
      <c r="F15" s="60"/>
      <c r="G15" s="60"/>
      <c r="H15" s="60"/>
      <c r="I15" s="60"/>
      <c r="J15" s="60"/>
      <c r="K15" s="60"/>
      <c r="L15" s="60"/>
      <c r="M15" s="60"/>
      <c r="O15" s="65"/>
      <c r="P15" s="65"/>
      <c r="Q15" s="65"/>
      <c r="R15"/>
      <c r="S15"/>
      <c r="T15"/>
    </row>
    <row r="16" spans="1:20">
      <c r="A16" s="36"/>
      <c r="B16" s="800" t="s">
        <v>178</v>
      </c>
      <c r="C16" s="144" t="s">
        <v>7</v>
      </c>
      <c r="D16" s="111">
        <f>1-INDEX(Data!$D$73:$D$100,MATCH('RFPR cover'!$C$5,Data!$B$73:$B$100,0),0)</f>
        <v>0.30000000000000004</v>
      </c>
      <c r="E16" s="112">
        <f>1-INDEX(Data!$D$73:$D$100,MATCH('RFPR cover'!$C$5,Data!$B$73:$B$100,0),0)</f>
        <v>0.30000000000000004</v>
      </c>
      <c r="F16" s="112">
        <f>1-INDEX(Data!$D$73:$D$100,MATCH('RFPR cover'!$C$5,Data!$B$73:$B$100,0),0)</f>
        <v>0.30000000000000004</v>
      </c>
      <c r="G16" s="112">
        <f>1-INDEX(Data!$D$73:$D$100,MATCH('RFPR cover'!$C$5,Data!$B$73:$B$100,0),0)</f>
        <v>0.30000000000000004</v>
      </c>
      <c r="H16" s="112">
        <f>1-INDEX(Data!$D$73:$D$100,MATCH('RFPR cover'!$C$5,Data!$B$73:$B$100,0),0)</f>
        <v>0.30000000000000004</v>
      </c>
      <c r="I16" s="112">
        <f>1-INDEX(Data!$D$73:$D$100,MATCH('RFPR cover'!$C$5,Data!$B$73:$B$100,0),0)</f>
        <v>0.30000000000000004</v>
      </c>
      <c r="J16" s="112">
        <f>1-INDEX(Data!$D$73:$D$100,MATCH('RFPR cover'!$C$5,Data!$B$73:$B$100,0),0)</f>
        <v>0.30000000000000004</v>
      </c>
      <c r="K16" s="113">
        <f>1-INDEX(Data!$D$73:$D$100,MATCH('RFPR cover'!$C$5,Data!$B$73:$B$100,0),0)</f>
        <v>0.30000000000000004</v>
      </c>
      <c r="L16" s="63"/>
      <c r="M16" s="63"/>
      <c r="O16"/>
      <c r="P16"/>
      <c r="Q16"/>
      <c r="R16"/>
      <c r="S16"/>
      <c r="T16"/>
    </row>
    <row r="17" spans="1:20">
      <c r="A17" s="36"/>
      <c r="B17" s="800"/>
      <c r="O17"/>
      <c r="P17"/>
      <c r="Q17"/>
      <c r="R17"/>
      <c r="S17"/>
      <c r="T17"/>
    </row>
    <row r="18" spans="1:20">
      <c r="A18" s="36"/>
      <c r="B18" s="807" t="s">
        <v>183</v>
      </c>
      <c r="C18" s="167" t="str">
        <f>'RFPR cover'!$C$14</f>
        <v>£m 12/13</v>
      </c>
      <c r="D18" s="97">
        <f>D14*D16</f>
        <v>1.2753830650894942</v>
      </c>
      <c r="E18" s="98">
        <f t="shared" ref="E18:K18" si="2">E14*E16</f>
        <v>-7.5108916466225208</v>
      </c>
      <c r="F18" s="98">
        <f t="shared" si="2"/>
        <v>0.82154531786808327</v>
      </c>
      <c r="G18" s="98">
        <f t="shared" si="2"/>
        <v>6.7931398691729399</v>
      </c>
      <c r="H18" s="98">
        <f t="shared" si="2"/>
        <v>9.7184906093301049E-2</v>
      </c>
      <c r="I18" s="98">
        <f t="shared" si="2"/>
        <v>1.144030515753363</v>
      </c>
      <c r="J18" s="98">
        <f t="shared" si="2"/>
        <v>2.3713839925484197</v>
      </c>
      <c r="K18" s="98">
        <f t="shared" si="2"/>
        <v>4.5971141818766919</v>
      </c>
      <c r="L18" s="97">
        <f>SUM(D18:INDEX(D18:K18,0,MATCH('RFPR cover'!$C$7,$D$6:$K$6,0)))</f>
        <v>1.3791766055079968</v>
      </c>
      <c r="M18" s="99">
        <f>SUM(D18:K18)</f>
        <v>9.5888902017797726</v>
      </c>
      <c r="O18"/>
      <c r="P18"/>
      <c r="Q18"/>
      <c r="R18"/>
      <c r="S18"/>
      <c r="T18"/>
    </row>
    <row r="19" spans="1:20">
      <c r="A19" s="36"/>
      <c r="B19" s="807" t="s">
        <v>280</v>
      </c>
      <c r="C19" s="167" t="str">
        <f>'RFPR cover'!$C$14</f>
        <v>£m 12/13</v>
      </c>
      <c r="D19" s="94">
        <f>D14*(1-D16)</f>
        <v>2.9758938185421524</v>
      </c>
      <c r="E19" s="95">
        <f t="shared" ref="E19:K19" si="3">E14*(1-E16)</f>
        <v>-17.52541384211921</v>
      </c>
      <c r="F19" s="95">
        <f t="shared" si="3"/>
        <v>1.9169390750255273</v>
      </c>
      <c r="G19" s="95">
        <f t="shared" si="3"/>
        <v>15.850659694736855</v>
      </c>
      <c r="H19" s="95">
        <f t="shared" si="3"/>
        <v>0.22676478088436908</v>
      </c>
      <c r="I19" s="95">
        <f t="shared" si="3"/>
        <v>2.6694045367578467</v>
      </c>
      <c r="J19" s="95">
        <f t="shared" si="3"/>
        <v>5.5332293159463113</v>
      </c>
      <c r="K19" s="95">
        <f t="shared" si="3"/>
        <v>10.726599757712279</v>
      </c>
      <c r="L19" s="94">
        <f>SUM(D19:INDEX(D19:K19,0,MATCH('RFPR cover'!$C$7,$D$6:$K$6,0)))</f>
        <v>3.2180787461853235</v>
      </c>
      <c r="M19" s="96">
        <f>SUM(D19:K19)</f>
        <v>22.374077137486129</v>
      </c>
      <c r="O19"/>
      <c r="P19"/>
      <c r="Q19"/>
      <c r="R19"/>
      <c r="S19"/>
      <c r="T19"/>
    </row>
    <row r="20" spans="1:20">
      <c r="A20" s="36"/>
      <c r="B20" s="800"/>
      <c r="O20"/>
      <c r="P20"/>
      <c r="Q20"/>
      <c r="R20"/>
      <c r="S20"/>
      <c r="T20"/>
    </row>
    <row r="21" spans="1:20">
      <c r="A21" s="36"/>
      <c r="B21" s="808" t="s">
        <v>182</v>
      </c>
      <c r="N21" s="64"/>
      <c r="O21"/>
      <c r="P21"/>
      <c r="Q21"/>
      <c r="R21"/>
      <c r="S21"/>
      <c r="T21"/>
    </row>
    <row r="22" spans="1:20">
      <c r="A22" s="283" t="s">
        <v>151</v>
      </c>
      <c r="B22" s="798" t="s">
        <v>571</v>
      </c>
      <c r="C22" s="163" t="str">
        <f>'RFPR cover'!$C$14</f>
        <v>£m 12/13</v>
      </c>
      <c r="D22" s="609">
        <v>0</v>
      </c>
      <c r="E22" s="610">
        <v>14.013999218755165</v>
      </c>
      <c r="F22" s="610">
        <v>-13.027558491064356</v>
      </c>
      <c r="G22" s="610">
        <v>-0.46547523542310015</v>
      </c>
      <c r="H22" s="610">
        <v>0</v>
      </c>
      <c r="I22" s="610">
        <v>0</v>
      </c>
      <c r="J22" s="610">
        <v>0</v>
      </c>
      <c r="K22" s="610">
        <v>0</v>
      </c>
      <c r="L22" s="611">
        <f>SUM(D22:INDEX(D22:K22,0,MATCH('RFPR cover'!$C$7,$D$6:$K$6,0)))</f>
        <v>0.52096549226770872</v>
      </c>
      <c r="M22" s="612">
        <f t="shared" ref="M22:M27" si="4">SUM(D22:K22)</f>
        <v>0.52096549226770872</v>
      </c>
      <c r="N22" s="600" t="s">
        <v>588</v>
      </c>
      <c r="O22"/>
      <c r="P22"/>
      <c r="Q22"/>
      <c r="R22"/>
      <c r="S22"/>
      <c r="T22"/>
    </row>
    <row r="23" spans="1:20">
      <c r="A23" s="283" t="s">
        <v>152</v>
      </c>
      <c r="B23" s="798" t="s">
        <v>572</v>
      </c>
      <c r="C23" s="163" t="str">
        <f>'RFPR cover'!$C$14</f>
        <v>£m 12/13</v>
      </c>
      <c r="D23" s="613">
        <v>0</v>
      </c>
      <c r="E23" s="614">
        <v>0</v>
      </c>
      <c r="F23" s="614">
        <v>-8.7508843455148817</v>
      </c>
      <c r="G23" s="614">
        <v>3.2316541631445479</v>
      </c>
      <c r="H23" s="614">
        <v>3.2316541631445479</v>
      </c>
      <c r="I23" s="614">
        <v>3.0799999999999996</v>
      </c>
      <c r="J23" s="614">
        <v>2.2931761401242232</v>
      </c>
      <c r="K23" s="614">
        <v>-3.0856001208984365</v>
      </c>
      <c r="L23" s="615">
        <f>SUM(D23:INDEX(D23:K23,0,MATCH('RFPR cover'!$C$7,$D$6:$K$6,0)))</f>
        <v>-5.5192301823703342</v>
      </c>
      <c r="M23" s="616">
        <f t="shared" si="4"/>
        <v>0</v>
      </c>
      <c r="N23" s="601" t="s">
        <v>588</v>
      </c>
      <c r="O23"/>
      <c r="P23"/>
      <c r="Q23"/>
      <c r="R23"/>
      <c r="S23"/>
      <c r="T23"/>
    </row>
    <row r="24" spans="1:20">
      <c r="A24" s="283" t="s">
        <v>153</v>
      </c>
      <c r="B24" s="798" t="s">
        <v>587</v>
      </c>
      <c r="C24" s="163" t="str">
        <f>'RFPR cover'!$C$14</f>
        <v>£m 12/13</v>
      </c>
      <c r="D24" s="613">
        <v>0</v>
      </c>
      <c r="E24" s="614">
        <v>0</v>
      </c>
      <c r="F24" s="614">
        <v>0</v>
      </c>
      <c r="G24" s="614">
        <v>0</v>
      </c>
      <c r="H24" s="614">
        <v>0</v>
      </c>
      <c r="I24" s="614">
        <v>2.1777116904588145</v>
      </c>
      <c r="J24" s="614">
        <v>3.5225354723868905</v>
      </c>
      <c r="K24" s="614">
        <v>5.293439704851945</v>
      </c>
      <c r="L24" s="615">
        <f>SUM(D24:INDEX(D24:K24,0,MATCH('RFPR cover'!$C$7,$D$6:$K$6,0)))</f>
        <v>0</v>
      </c>
      <c r="M24" s="616">
        <f t="shared" si="4"/>
        <v>10.993686867697651</v>
      </c>
      <c r="N24" s="601" t="s">
        <v>588</v>
      </c>
      <c r="O24"/>
      <c r="P24"/>
      <c r="Q24"/>
      <c r="R24"/>
      <c r="S24" s="66"/>
      <c r="T24"/>
    </row>
    <row r="25" spans="1:20">
      <c r="A25" s="283" t="s">
        <v>168</v>
      </c>
      <c r="B25" s="798" t="s">
        <v>242</v>
      </c>
      <c r="C25" s="163" t="str">
        <f>'RFPR cover'!$C$14</f>
        <v>£m 12/13</v>
      </c>
      <c r="D25" s="613"/>
      <c r="E25" s="614"/>
      <c r="F25" s="614"/>
      <c r="G25" s="614"/>
      <c r="H25" s="614"/>
      <c r="I25" s="614"/>
      <c r="J25" s="614"/>
      <c r="K25" s="614"/>
      <c r="L25" s="615">
        <f>SUM(D25:INDEX(D25:K25,0,MATCH('RFPR cover'!$C$7,$D$6:$K$6,0)))</f>
        <v>0</v>
      </c>
      <c r="M25" s="616">
        <f t="shared" si="4"/>
        <v>0</v>
      </c>
      <c r="N25" s="601"/>
      <c r="O25"/>
      <c r="P25"/>
      <c r="Q25"/>
      <c r="R25"/>
      <c r="S25"/>
      <c r="T25"/>
    </row>
    <row r="26" spans="1:20">
      <c r="A26" s="283" t="s">
        <v>169</v>
      </c>
      <c r="B26" s="798" t="s">
        <v>242</v>
      </c>
      <c r="C26" s="163" t="str">
        <f>'RFPR cover'!$C$14</f>
        <v>£m 12/13</v>
      </c>
      <c r="D26" s="613"/>
      <c r="E26" s="614"/>
      <c r="F26" s="614"/>
      <c r="G26" s="614"/>
      <c r="H26" s="614"/>
      <c r="I26" s="614"/>
      <c r="J26" s="614"/>
      <c r="K26" s="614"/>
      <c r="L26" s="615">
        <f>SUM(D26:INDEX(D26:K26,0,MATCH('RFPR cover'!$C$7,$D$6:$K$6,0)))</f>
        <v>0</v>
      </c>
      <c r="M26" s="616">
        <f t="shared" si="4"/>
        <v>0</v>
      </c>
      <c r="N26" s="601"/>
      <c r="O26"/>
      <c r="P26"/>
      <c r="Q26"/>
      <c r="R26"/>
      <c r="S26"/>
      <c r="T26"/>
    </row>
    <row r="27" spans="1:20">
      <c r="A27" s="283" t="s">
        <v>170</v>
      </c>
      <c r="B27" s="798" t="s">
        <v>242</v>
      </c>
      <c r="C27" s="163" t="str">
        <f>'RFPR cover'!$C$14</f>
        <v>£m 12/13</v>
      </c>
      <c r="D27" s="617"/>
      <c r="E27" s="618"/>
      <c r="F27" s="618"/>
      <c r="G27" s="618"/>
      <c r="H27" s="618"/>
      <c r="I27" s="618"/>
      <c r="J27" s="618"/>
      <c r="K27" s="618"/>
      <c r="L27" s="619">
        <f>SUM(D27:INDEX(D27:K27,0,MATCH('RFPR cover'!$C$7,$D$6:$K$6,0)))</f>
        <v>0</v>
      </c>
      <c r="M27" s="620">
        <f t="shared" si="4"/>
        <v>0</v>
      </c>
      <c r="N27" s="602"/>
      <c r="O27"/>
      <c r="P27"/>
      <c r="Q27"/>
      <c r="R27"/>
      <c r="S27"/>
      <c r="T27"/>
    </row>
    <row r="28" spans="1:20">
      <c r="A28" s="36"/>
      <c r="B28" s="808" t="s">
        <v>190</v>
      </c>
      <c r="C28" s="163" t="str">
        <f>'RFPR cover'!$C$14</f>
        <v>£m 12/13</v>
      </c>
      <c r="D28" s="104">
        <f>SUM(D22:D27)</f>
        <v>0</v>
      </c>
      <c r="E28" s="105">
        <f t="shared" ref="E28:K28" si="5">SUM(E22:E27)</f>
        <v>14.013999218755165</v>
      </c>
      <c r="F28" s="105">
        <f t="shared" si="5"/>
        <v>-21.778442836579238</v>
      </c>
      <c r="G28" s="105">
        <f t="shared" si="5"/>
        <v>2.7661789277214477</v>
      </c>
      <c r="H28" s="105">
        <f t="shared" si="5"/>
        <v>3.2316541631445479</v>
      </c>
      <c r="I28" s="105">
        <f t="shared" si="5"/>
        <v>5.2577116904588141</v>
      </c>
      <c r="J28" s="105">
        <f t="shared" si="5"/>
        <v>5.8157116125111141</v>
      </c>
      <c r="K28" s="105">
        <f t="shared" si="5"/>
        <v>2.2078395839535085</v>
      </c>
      <c r="L28" s="104">
        <f>SUM(D28:INDEX(D28:K28,0,MATCH('RFPR cover'!$C$7,$D$6:$K$6,0)))</f>
        <v>-4.9982646901026246</v>
      </c>
      <c r="M28" s="106">
        <f>SUM(D28:K28)</f>
        <v>11.514652359965361</v>
      </c>
      <c r="N28" s="64"/>
    </row>
    <row r="29" spans="1:20">
      <c r="A29" s="36"/>
      <c r="B29" s="800"/>
    </row>
    <row r="30" spans="1:20">
      <c r="A30" s="36"/>
      <c r="B30" s="807" t="s">
        <v>198</v>
      </c>
      <c r="C30" s="167" t="str">
        <f>'RFPR cover'!$C$14</f>
        <v>£m 12/13</v>
      </c>
      <c r="D30" s="97">
        <f t="shared" ref="D30:K30" si="6">D28*D16</f>
        <v>0</v>
      </c>
      <c r="E30" s="98">
        <f t="shared" si="6"/>
        <v>4.2041997656265506</v>
      </c>
      <c r="F30" s="98">
        <f t="shared" si="6"/>
        <v>-6.5335328509737725</v>
      </c>
      <c r="G30" s="98">
        <f t="shared" si="6"/>
        <v>0.82985367831643442</v>
      </c>
      <c r="H30" s="98">
        <f t="shared" si="6"/>
        <v>0.9694962489433645</v>
      </c>
      <c r="I30" s="98">
        <f t="shared" si="6"/>
        <v>1.5773135071376445</v>
      </c>
      <c r="J30" s="98">
        <f t="shared" si="6"/>
        <v>1.7447134837533345</v>
      </c>
      <c r="K30" s="98">
        <f t="shared" si="6"/>
        <v>0.66235187518605265</v>
      </c>
      <c r="L30" s="97">
        <f>SUM(D30:INDEX(D30:K30,0,MATCH('RFPR cover'!$C$7,$D$6:$K$6,0)))</f>
        <v>-1.4994794070307873</v>
      </c>
      <c r="M30" s="99">
        <f>SUM(D30:K30)</f>
        <v>3.454395707989609</v>
      </c>
    </row>
    <row r="31" spans="1:20">
      <c r="A31" s="36"/>
      <c r="B31" s="807" t="s">
        <v>309</v>
      </c>
      <c r="C31" s="167" t="str">
        <f>'RFPR cover'!$C$14</f>
        <v>£m 12/13</v>
      </c>
      <c r="D31" s="94">
        <f t="shared" ref="D31:K31" si="7">D28*(1-D16)</f>
        <v>0</v>
      </c>
      <c r="E31" s="95">
        <f t="shared" si="7"/>
        <v>9.8097994531286155</v>
      </c>
      <c r="F31" s="95">
        <f t="shared" si="7"/>
        <v>-15.244909985605466</v>
      </c>
      <c r="G31" s="95">
        <f t="shared" si="7"/>
        <v>1.9363252494050132</v>
      </c>
      <c r="H31" s="95">
        <f t="shared" si="7"/>
        <v>2.2621579142011834</v>
      </c>
      <c r="I31" s="95">
        <f t="shared" si="7"/>
        <v>3.6803981833211696</v>
      </c>
      <c r="J31" s="95">
        <f t="shared" si="7"/>
        <v>4.0709981287577799</v>
      </c>
      <c r="K31" s="95">
        <f t="shared" si="7"/>
        <v>1.5454877087674559</v>
      </c>
      <c r="L31" s="94">
        <f>SUM(D31:INDEX(D31:K31,0,MATCH('RFPR cover'!$C$7,$D$6:$K$6,0)))</f>
        <v>-3.4987852830718369</v>
      </c>
      <c r="M31" s="96">
        <f>SUM(D31:K31)</f>
        <v>8.0602566519757524</v>
      </c>
    </row>
    <row r="32" spans="1:20">
      <c r="A32" s="36"/>
      <c r="B32" s="800"/>
    </row>
    <row r="33" spans="1:20">
      <c r="A33" s="36"/>
      <c r="B33" s="808" t="s">
        <v>181</v>
      </c>
    </row>
    <row r="34" spans="1:20">
      <c r="A34" s="36"/>
      <c r="B34" s="800" t="s">
        <v>180</v>
      </c>
      <c r="C34" s="163" t="str">
        <f>'RFPR cover'!$C$14</f>
        <v>£m 12/13</v>
      </c>
      <c r="D34" s="97">
        <f>D18+D30</f>
        <v>1.2753830650894942</v>
      </c>
      <c r="E34" s="98">
        <f t="shared" ref="E34:K34" si="8">E18+E30</f>
        <v>-3.3066918809959702</v>
      </c>
      <c r="F34" s="98">
        <f t="shared" si="8"/>
        <v>-5.7119875331056891</v>
      </c>
      <c r="G34" s="98">
        <f t="shared" si="8"/>
        <v>7.622993547489374</v>
      </c>
      <c r="H34" s="98">
        <f t="shared" si="8"/>
        <v>1.0666811550366655</v>
      </c>
      <c r="I34" s="98">
        <f t="shared" si="8"/>
        <v>2.7213440228910075</v>
      </c>
      <c r="J34" s="98">
        <f t="shared" si="8"/>
        <v>4.1160974763017544</v>
      </c>
      <c r="K34" s="98">
        <f t="shared" si="8"/>
        <v>5.2594660570627445</v>
      </c>
      <c r="L34" s="97">
        <f>SUM(D34:INDEX(D34:K34,0,MATCH('RFPR cover'!$C$7,$D$6:$K$6,0)))</f>
        <v>-0.12030280152279094</v>
      </c>
      <c r="M34" s="99">
        <f>SUM(D34:K34)</f>
        <v>13.043285909769381</v>
      </c>
    </row>
    <row r="35" spans="1:20">
      <c r="A35" s="36"/>
      <c r="B35" s="800" t="s">
        <v>280</v>
      </c>
      <c r="C35" s="163" t="str">
        <f>'RFPR cover'!$C$14</f>
        <v>£m 12/13</v>
      </c>
      <c r="D35" s="100">
        <f>D19+D31</f>
        <v>2.9758938185421524</v>
      </c>
      <c r="E35" s="101">
        <f t="shared" ref="E35:K35" si="9">E19+E31</f>
        <v>-7.7156143889905948</v>
      </c>
      <c r="F35" s="101">
        <f t="shared" si="9"/>
        <v>-13.327970910579939</v>
      </c>
      <c r="G35" s="101">
        <f t="shared" si="9"/>
        <v>17.786984944141867</v>
      </c>
      <c r="H35" s="101">
        <f t="shared" si="9"/>
        <v>2.4889226950855523</v>
      </c>
      <c r="I35" s="101">
        <f t="shared" si="9"/>
        <v>6.3498027200790164</v>
      </c>
      <c r="J35" s="101">
        <f t="shared" si="9"/>
        <v>9.6042274447040903</v>
      </c>
      <c r="K35" s="101">
        <f t="shared" si="9"/>
        <v>12.272087466479736</v>
      </c>
      <c r="L35" s="100">
        <f>SUM(D35:INDEX(D35:K35,0,MATCH('RFPR cover'!$C$7,$D$6:$K$6,0)))</f>
        <v>-0.28070653688651603</v>
      </c>
      <c r="M35" s="102">
        <f>SUM(D35:K35)</f>
        <v>30.434333789461878</v>
      </c>
    </row>
    <row r="36" spans="1:20">
      <c r="A36" s="36"/>
      <c r="B36" s="808" t="s">
        <v>11</v>
      </c>
      <c r="C36" s="164" t="str">
        <f>'RFPR cover'!$C$14</f>
        <v>£m 12/13</v>
      </c>
      <c r="D36" s="147">
        <f>SUM(D34:D35)</f>
        <v>4.2512768836316468</v>
      </c>
      <c r="E36" s="148">
        <f t="shared" ref="E36:K36" si="10">SUM(E34:E35)</f>
        <v>-11.022306269986565</v>
      </c>
      <c r="F36" s="148">
        <f t="shared" si="10"/>
        <v>-19.039958443685627</v>
      </c>
      <c r="G36" s="148">
        <f t="shared" si="10"/>
        <v>25.409978491631243</v>
      </c>
      <c r="H36" s="148">
        <f t="shared" si="10"/>
        <v>3.5556038501222176</v>
      </c>
      <c r="I36" s="148">
        <f t="shared" si="10"/>
        <v>9.0711467429700239</v>
      </c>
      <c r="J36" s="148">
        <f t="shared" si="10"/>
        <v>13.720324921005844</v>
      </c>
      <c r="K36" s="148">
        <f t="shared" si="10"/>
        <v>17.531553523542481</v>
      </c>
      <c r="L36" s="147">
        <f>SUM(D36:INDEX(D36:K36,0,MATCH('RFPR cover'!$C$7,$D$6:$K$6,0)))</f>
        <v>-0.40100933840930253</v>
      </c>
      <c r="M36" s="149">
        <f>SUM(D36:K36)</f>
        <v>43.477619699231269</v>
      </c>
    </row>
    <row r="37" spans="1:20">
      <c r="A37" s="36"/>
      <c r="B37" s="800"/>
    </row>
    <row r="38" spans="1:20">
      <c r="A38" s="36"/>
      <c r="B38" s="803" t="str">
        <f>Data!B51</f>
        <v>n/a</v>
      </c>
      <c r="C38" s="158"/>
      <c r="D38" s="83"/>
      <c r="E38" s="83"/>
      <c r="F38" s="83"/>
      <c r="G38" s="83"/>
      <c r="H38" s="83"/>
      <c r="I38" s="83"/>
      <c r="J38" s="83"/>
      <c r="K38" s="83"/>
      <c r="L38" s="83"/>
      <c r="M38" s="83"/>
      <c r="N38" s="83"/>
    </row>
    <row r="39" spans="1:20" s="36" customFormat="1">
      <c r="B39" s="801"/>
      <c r="C39" s="146"/>
      <c r="D39" s="339"/>
      <c r="E39" s="339"/>
      <c r="F39" s="339"/>
      <c r="G39" s="339"/>
      <c r="H39" s="339"/>
      <c r="I39" s="339"/>
      <c r="J39" s="339"/>
      <c r="K39" s="339"/>
      <c r="L39" s="339"/>
      <c r="M39" s="339"/>
      <c r="N39" s="339"/>
    </row>
    <row r="40" spans="1:20">
      <c r="A40" s="36"/>
      <c r="B40" s="324" t="s">
        <v>34</v>
      </c>
      <c r="C40" s="163" t="str">
        <f>'RFPR cover'!$C$14</f>
        <v>£m 12/13</v>
      </c>
      <c r="D40" s="676"/>
      <c r="E40" s="677"/>
      <c r="F40" s="677"/>
      <c r="G40" s="677"/>
      <c r="H40" s="677"/>
      <c r="I40" s="677"/>
      <c r="J40" s="677"/>
      <c r="K40" s="677"/>
      <c r="L40" s="678">
        <f>SUM(D40:INDEX(D40:K40,0,MATCH('RFPR cover'!$C$7,$D$6:$K$6,0)))</f>
        <v>0</v>
      </c>
      <c r="M40" s="679">
        <f>SUM(D40:K40)</f>
        <v>0</v>
      </c>
      <c r="N40" s="370"/>
      <c r="O40" s="64"/>
    </row>
    <row r="41" spans="1:20" ht="25.5">
      <c r="A41" s="36"/>
      <c r="B41" s="805" t="s">
        <v>504</v>
      </c>
      <c r="C41" s="163" t="str">
        <f>'RFPR cover'!$C$14</f>
        <v>£m 12/13</v>
      </c>
      <c r="D41" s="680"/>
      <c r="E41" s="681"/>
      <c r="F41" s="681"/>
      <c r="G41" s="681"/>
      <c r="H41" s="681"/>
      <c r="I41" s="681"/>
      <c r="J41" s="681"/>
      <c r="K41" s="681"/>
      <c r="L41" s="682">
        <f>SUM(D41:INDEX(D41:K41,0,MATCH('RFPR cover'!$C$7,$D$6:$K$6,0)))</f>
        <v>0</v>
      </c>
      <c r="M41" s="683">
        <f>SUM(D41:K41)</f>
        <v>0</v>
      </c>
      <c r="N41" s="370"/>
      <c r="O41" s="64"/>
    </row>
    <row r="42" spans="1:20">
      <c r="A42" s="36"/>
      <c r="B42" s="806" t="s">
        <v>195</v>
      </c>
      <c r="C42" s="163" t="str">
        <f>'RFPR cover'!$C$14</f>
        <v>£m 12/13</v>
      </c>
      <c r="D42" s="104">
        <f>D41-D40</f>
        <v>0</v>
      </c>
      <c r="E42" s="105">
        <f t="shared" ref="E42:M42" si="11">E41-E40</f>
        <v>0</v>
      </c>
      <c r="F42" s="105">
        <f t="shared" si="11"/>
        <v>0</v>
      </c>
      <c r="G42" s="105">
        <f t="shared" si="11"/>
        <v>0</v>
      </c>
      <c r="H42" s="105">
        <f t="shared" si="11"/>
        <v>0</v>
      </c>
      <c r="I42" s="105">
        <f t="shared" si="11"/>
        <v>0</v>
      </c>
      <c r="J42" s="105">
        <f t="shared" si="11"/>
        <v>0</v>
      </c>
      <c r="K42" s="105">
        <f t="shared" si="11"/>
        <v>0</v>
      </c>
      <c r="L42" s="373">
        <f t="shared" si="11"/>
        <v>0</v>
      </c>
      <c r="M42" s="374">
        <f t="shared" si="11"/>
        <v>0</v>
      </c>
      <c r="N42" s="371"/>
      <c r="O42" s="989"/>
      <c r="P42" s="989"/>
      <c r="Q42" s="989"/>
      <c r="R42"/>
      <c r="S42"/>
      <c r="T42"/>
    </row>
    <row r="43" spans="1:20">
      <c r="A43" s="36"/>
      <c r="B43" s="806"/>
      <c r="C43" s="163"/>
      <c r="D43" s="60"/>
      <c r="E43" s="60"/>
      <c r="F43" s="60"/>
      <c r="G43" s="60"/>
      <c r="H43" s="60"/>
      <c r="I43" s="60"/>
      <c r="J43" s="60"/>
      <c r="K43" s="60"/>
      <c r="L43" s="60"/>
      <c r="M43" s="60"/>
      <c r="N43" s="367"/>
      <c r="O43" s="65"/>
      <c r="P43" s="65"/>
      <c r="Q43" s="65"/>
      <c r="R43"/>
      <c r="S43"/>
      <c r="T43"/>
    </row>
    <row r="44" spans="1:20">
      <c r="A44" s="36"/>
      <c r="B44" s="800" t="s">
        <v>178</v>
      </c>
      <c r="C44" s="144" t="s">
        <v>7</v>
      </c>
      <c r="D44" s="111">
        <f>1-INDEX(Data!$D$73:$D$100,MATCH('RFPR cover'!$C$5,Data!$B$73:$B$100,0),0)</f>
        <v>0.30000000000000004</v>
      </c>
      <c r="E44" s="112">
        <f>1-INDEX(Data!$D$73:$D$100,MATCH('RFPR cover'!$C$5,Data!$B$73:$B$100,0),0)</f>
        <v>0.30000000000000004</v>
      </c>
      <c r="F44" s="112">
        <f>1-INDEX(Data!$D$73:$D$100,MATCH('RFPR cover'!$C$5,Data!$B$73:$B$100,0),0)</f>
        <v>0.30000000000000004</v>
      </c>
      <c r="G44" s="112">
        <f>1-INDEX(Data!$D$73:$D$100,MATCH('RFPR cover'!$C$5,Data!$B$73:$B$100,0),0)</f>
        <v>0.30000000000000004</v>
      </c>
      <c r="H44" s="112">
        <f>1-INDEX(Data!$D$73:$D$100,MATCH('RFPR cover'!$C$5,Data!$B$73:$B$100,0),0)</f>
        <v>0.30000000000000004</v>
      </c>
      <c r="I44" s="112">
        <f>1-INDEX(Data!$D$73:$D$100,MATCH('RFPR cover'!$C$5,Data!$B$73:$B$100,0),0)</f>
        <v>0.30000000000000004</v>
      </c>
      <c r="J44" s="112">
        <f>1-INDEX(Data!$D$73:$D$100,MATCH('RFPR cover'!$C$5,Data!$B$73:$B$100,0),0)</f>
        <v>0.30000000000000004</v>
      </c>
      <c r="K44" s="113">
        <f>1-INDEX(Data!$D$73:$D$100,MATCH('RFPR cover'!$C$5,Data!$B$73:$B$100,0),0)</f>
        <v>0.30000000000000004</v>
      </c>
      <c r="L44" s="63"/>
      <c r="M44" s="63"/>
      <c r="N44" s="368"/>
      <c r="O44"/>
      <c r="P44"/>
      <c r="Q44"/>
      <c r="R44"/>
      <c r="S44"/>
      <c r="T44"/>
    </row>
    <row r="45" spans="1:20">
      <c r="A45" s="36"/>
      <c r="B45" s="800"/>
      <c r="N45" s="369"/>
      <c r="O45"/>
      <c r="P45"/>
      <c r="Q45"/>
      <c r="R45"/>
      <c r="S45"/>
      <c r="T45"/>
    </row>
    <row r="46" spans="1:20">
      <c r="A46" s="36"/>
      <c r="B46" s="807" t="s">
        <v>183</v>
      </c>
      <c r="C46" s="167" t="str">
        <f>'RFPR cover'!$C$14</f>
        <v>£m 12/13</v>
      </c>
      <c r="D46" s="97">
        <f>D42*D44</f>
        <v>0</v>
      </c>
      <c r="E46" s="98">
        <f t="shared" ref="E46:K46" si="12">E42*E44</f>
        <v>0</v>
      </c>
      <c r="F46" s="98">
        <f t="shared" si="12"/>
        <v>0</v>
      </c>
      <c r="G46" s="98">
        <f t="shared" si="12"/>
        <v>0</v>
      </c>
      <c r="H46" s="98">
        <f t="shared" si="12"/>
        <v>0</v>
      </c>
      <c r="I46" s="98">
        <f t="shared" si="12"/>
        <v>0</v>
      </c>
      <c r="J46" s="98">
        <f t="shared" si="12"/>
        <v>0</v>
      </c>
      <c r="K46" s="98">
        <f t="shared" si="12"/>
        <v>0</v>
      </c>
      <c r="L46" s="375">
        <f>SUM(D46:INDEX(D46:K46,0,MATCH('RFPR cover'!$C$7,$D$6:$K$6,0)))</f>
        <v>0</v>
      </c>
      <c r="M46" s="603">
        <f>SUM(D46:K46)</f>
        <v>0</v>
      </c>
      <c r="N46" s="371"/>
      <c r="O46"/>
      <c r="P46"/>
      <c r="Q46"/>
      <c r="R46"/>
      <c r="S46"/>
      <c r="T46"/>
    </row>
    <row r="47" spans="1:20">
      <c r="A47" s="36"/>
      <c r="B47" s="807" t="s">
        <v>280</v>
      </c>
      <c r="C47" s="167" t="str">
        <f>'RFPR cover'!$C$14</f>
        <v>£m 12/13</v>
      </c>
      <c r="D47" s="605">
        <f>D42*(1-D44)</f>
        <v>0</v>
      </c>
      <c r="E47" s="606">
        <f t="shared" ref="E47:K47" si="13">E42*(1-E44)</f>
        <v>0</v>
      </c>
      <c r="F47" s="606">
        <f t="shared" si="13"/>
        <v>0</v>
      </c>
      <c r="G47" s="606">
        <f t="shared" si="13"/>
        <v>0</v>
      </c>
      <c r="H47" s="606">
        <f t="shared" si="13"/>
        <v>0</v>
      </c>
      <c r="I47" s="606">
        <f t="shared" si="13"/>
        <v>0</v>
      </c>
      <c r="J47" s="606">
        <f t="shared" si="13"/>
        <v>0</v>
      </c>
      <c r="K47" s="606">
        <f t="shared" si="13"/>
        <v>0</v>
      </c>
      <c r="L47" s="607">
        <f>SUM(D47:INDEX(D47:K47,0,MATCH('RFPR cover'!$C$7,$D$6:$K$6,0)))</f>
        <v>0</v>
      </c>
      <c r="M47" s="608">
        <f>SUM(D47:K47)</f>
        <v>0</v>
      </c>
      <c r="N47" s="371"/>
      <c r="O47"/>
      <c r="P47"/>
      <c r="Q47"/>
      <c r="R47"/>
      <c r="S47"/>
      <c r="T47"/>
    </row>
    <row r="48" spans="1:20">
      <c r="A48" s="36"/>
      <c r="B48" s="800"/>
      <c r="N48" s="369"/>
      <c r="O48"/>
      <c r="P48"/>
      <c r="Q48"/>
      <c r="R48"/>
      <c r="S48"/>
      <c r="T48"/>
    </row>
    <row r="49" spans="1:20">
      <c r="A49" s="36"/>
      <c r="B49" s="808" t="s">
        <v>182</v>
      </c>
      <c r="N49" s="369"/>
      <c r="O49"/>
      <c r="P49"/>
      <c r="Q49"/>
      <c r="R49"/>
      <c r="S49"/>
      <c r="T49"/>
    </row>
    <row r="50" spans="1:20">
      <c r="A50" s="283" t="s">
        <v>151</v>
      </c>
      <c r="B50" s="798" t="s">
        <v>242</v>
      </c>
      <c r="C50" s="163" t="str">
        <f>'RFPR cover'!$C$14</f>
        <v>£m 12/13</v>
      </c>
      <c r="D50" s="609"/>
      <c r="E50" s="610"/>
      <c r="F50" s="610"/>
      <c r="G50" s="610"/>
      <c r="H50" s="610"/>
      <c r="I50" s="610"/>
      <c r="J50" s="610"/>
      <c r="K50" s="610"/>
      <c r="L50" s="684">
        <f>SUM(D50:INDEX(D50:K50,0,MATCH('RFPR cover'!$C$7,$D$6:$K$6,0)))</f>
        <v>0</v>
      </c>
      <c r="M50" s="685">
        <f t="shared" ref="M50:M56" si="14">SUM(D50:K50)</f>
        <v>0</v>
      </c>
      <c r="N50" s="600"/>
      <c r="O50"/>
      <c r="P50"/>
      <c r="Q50"/>
      <c r="R50"/>
      <c r="S50"/>
      <c r="T50"/>
    </row>
    <row r="51" spans="1:20">
      <c r="A51" s="283" t="s">
        <v>152</v>
      </c>
      <c r="B51" s="798" t="s">
        <v>242</v>
      </c>
      <c r="C51" s="163" t="str">
        <f>'RFPR cover'!$C$14</f>
        <v>£m 12/13</v>
      </c>
      <c r="D51" s="613"/>
      <c r="E51" s="614"/>
      <c r="F51" s="614"/>
      <c r="G51" s="614"/>
      <c r="H51" s="614"/>
      <c r="I51" s="614"/>
      <c r="J51" s="614"/>
      <c r="K51" s="614"/>
      <c r="L51" s="686">
        <f>SUM(D51:INDEX(D51:K51,0,MATCH('RFPR cover'!$C$7,$D$6:$K$6,0)))</f>
        <v>0</v>
      </c>
      <c r="M51" s="687">
        <f t="shared" si="14"/>
        <v>0</v>
      </c>
      <c r="N51" s="601"/>
      <c r="O51"/>
      <c r="P51"/>
      <c r="Q51"/>
      <c r="R51"/>
      <c r="S51"/>
      <c r="T51"/>
    </row>
    <row r="52" spans="1:20">
      <c r="A52" s="283" t="s">
        <v>153</v>
      </c>
      <c r="B52" s="798" t="s">
        <v>242</v>
      </c>
      <c r="C52" s="163" t="str">
        <f>'RFPR cover'!$C$14</f>
        <v>£m 12/13</v>
      </c>
      <c r="D52" s="613"/>
      <c r="E52" s="614"/>
      <c r="F52" s="614"/>
      <c r="G52" s="614"/>
      <c r="H52" s="614"/>
      <c r="I52" s="614"/>
      <c r="J52" s="614"/>
      <c r="K52" s="614"/>
      <c r="L52" s="686">
        <f>SUM(D52:INDEX(D52:K52,0,MATCH('RFPR cover'!$C$7,$D$6:$K$6,0)))</f>
        <v>0</v>
      </c>
      <c r="M52" s="687">
        <f t="shared" si="14"/>
        <v>0</v>
      </c>
      <c r="N52" s="601"/>
      <c r="O52"/>
      <c r="P52"/>
      <c r="Q52"/>
      <c r="R52"/>
      <c r="S52" s="66"/>
      <c r="T52"/>
    </row>
    <row r="53" spans="1:20">
      <c r="A53" s="283" t="s">
        <v>168</v>
      </c>
      <c r="B53" s="798" t="s">
        <v>242</v>
      </c>
      <c r="C53" s="163" t="str">
        <f>'RFPR cover'!$C$14</f>
        <v>£m 12/13</v>
      </c>
      <c r="D53" s="613"/>
      <c r="E53" s="614"/>
      <c r="F53" s="614"/>
      <c r="G53" s="614"/>
      <c r="H53" s="614"/>
      <c r="I53" s="614"/>
      <c r="J53" s="614"/>
      <c r="K53" s="614"/>
      <c r="L53" s="686">
        <f>SUM(D53:INDEX(D53:K53,0,MATCH('RFPR cover'!$C$7,$D$6:$K$6,0)))</f>
        <v>0</v>
      </c>
      <c r="M53" s="687">
        <f t="shared" si="14"/>
        <v>0</v>
      </c>
      <c r="N53" s="601"/>
      <c r="O53"/>
      <c r="P53"/>
      <c r="Q53"/>
      <c r="R53"/>
      <c r="S53"/>
      <c r="T53"/>
    </row>
    <row r="54" spans="1:20">
      <c r="A54" s="283" t="s">
        <v>169</v>
      </c>
      <c r="B54" s="798" t="s">
        <v>242</v>
      </c>
      <c r="C54" s="163" t="str">
        <f>'RFPR cover'!$C$14</f>
        <v>£m 12/13</v>
      </c>
      <c r="D54" s="613"/>
      <c r="E54" s="614"/>
      <c r="F54" s="614"/>
      <c r="G54" s="614"/>
      <c r="H54" s="614"/>
      <c r="I54" s="614"/>
      <c r="J54" s="614"/>
      <c r="K54" s="614"/>
      <c r="L54" s="686">
        <f>SUM(D54:INDEX(D54:K54,0,MATCH('RFPR cover'!$C$7,$D$6:$K$6,0)))</f>
        <v>0</v>
      </c>
      <c r="M54" s="687">
        <f t="shared" si="14"/>
        <v>0</v>
      </c>
      <c r="N54" s="601"/>
      <c r="O54"/>
      <c r="P54"/>
      <c r="Q54"/>
      <c r="R54"/>
      <c r="S54"/>
      <c r="T54"/>
    </row>
    <row r="55" spans="1:20">
      <c r="A55" s="283" t="s">
        <v>170</v>
      </c>
      <c r="B55" s="798" t="s">
        <v>242</v>
      </c>
      <c r="C55" s="163" t="str">
        <f>'RFPR cover'!$C$14</f>
        <v>£m 12/13</v>
      </c>
      <c r="D55" s="617"/>
      <c r="E55" s="618"/>
      <c r="F55" s="618"/>
      <c r="G55" s="618"/>
      <c r="H55" s="618"/>
      <c r="I55" s="618"/>
      <c r="J55" s="618"/>
      <c r="K55" s="618"/>
      <c r="L55" s="688">
        <f>SUM(D55:INDEX(D55:K55,0,MATCH('RFPR cover'!$C$7,$D$6:$K$6,0)))</f>
        <v>0</v>
      </c>
      <c r="M55" s="689">
        <f t="shared" si="14"/>
        <v>0</v>
      </c>
      <c r="N55" s="602"/>
      <c r="O55"/>
      <c r="P55"/>
      <c r="Q55"/>
      <c r="R55"/>
      <c r="S55"/>
      <c r="T55"/>
    </row>
    <row r="56" spans="1:20">
      <c r="A56" s="36"/>
      <c r="B56" s="808" t="s">
        <v>190</v>
      </c>
      <c r="C56" s="163" t="str">
        <f>'RFPR cover'!$C$14</f>
        <v>£m 12/13</v>
      </c>
      <c r="D56" s="104">
        <f>SUM(D50:D55)</f>
        <v>0</v>
      </c>
      <c r="E56" s="105">
        <f t="shared" ref="E56:K56" si="15">SUM(E50:E55)</f>
        <v>0</v>
      </c>
      <c r="F56" s="105">
        <f t="shared" si="15"/>
        <v>0</v>
      </c>
      <c r="G56" s="105">
        <f t="shared" si="15"/>
        <v>0</v>
      </c>
      <c r="H56" s="105">
        <f t="shared" si="15"/>
        <v>0</v>
      </c>
      <c r="I56" s="105">
        <f t="shared" si="15"/>
        <v>0</v>
      </c>
      <c r="J56" s="105">
        <f t="shared" si="15"/>
        <v>0</v>
      </c>
      <c r="K56" s="105">
        <f t="shared" si="15"/>
        <v>0</v>
      </c>
      <c r="L56" s="373">
        <f>SUM(D56:INDEX(D56:K56,0,MATCH('RFPR cover'!$C$7,$D$6:$K$6,0)))</f>
        <v>0</v>
      </c>
      <c r="M56" s="374">
        <f t="shared" si="14"/>
        <v>0</v>
      </c>
      <c r="N56" s="371"/>
    </row>
    <row r="57" spans="1:20">
      <c r="A57" s="36"/>
      <c r="B57" s="800"/>
      <c r="N57" s="369"/>
    </row>
    <row r="58" spans="1:20">
      <c r="A58" s="36"/>
      <c r="B58" s="807" t="s">
        <v>198</v>
      </c>
      <c r="C58" s="167" t="str">
        <f>'RFPR cover'!$C$14</f>
        <v>£m 12/13</v>
      </c>
      <c r="D58" s="97">
        <f t="shared" ref="D58:K58" si="16">D56*D44</f>
        <v>0</v>
      </c>
      <c r="E58" s="98">
        <f t="shared" si="16"/>
        <v>0</v>
      </c>
      <c r="F58" s="98">
        <f t="shared" si="16"/>
        <v>0</v>
      </c>
      <c r="G58" s="98">
        <f t="shared" si="16"/>
        <v>0</v>
      </c>
      <c r="H58" s="98">
        <f t="shared" si="16"/>
        <v>0</v>
      </c>
      <c r="I58" s="98">
        <f t="shared" si="16"/>
        <v>0</v>
      </c>
      <c r="J58" s="98">
        <f t="shared" si="16"/>
        <v>0</v>
      </c>
      <c r="K58" s="98">
        <f t="shared" si="16"/>
        <v>0</v>
      </c>
      <c r="L58" s="375">
        <f>SUM(D58:INDEX(D58:K58,0,MATCH('RFPR cover'!$C$7,$D$6:$K$6,0)))</f>
        <v>0</v>
      </c>
      <c r="M58" s="603">
        <f>SUM(D58:K58)</f>
        <v>0</v>
      </c>
      <c r="N58" s="371"/>
    </row>
    <row r="59" spans="1:20">
      <c r="A59" s="36"/>
      <c r="B59" s="807" t="s">
        <v>309</v>
      </c>
      <c r="C59" s="167" t="str">
        <f>'RFPR cover'!$C$14</f>
        <v>£m 12/13</v>
      </c>
      <c r="D59" s="94">
        <f t="shared" ref="D59:K59" si="17">D56*(1-D44)</f>
        <v>0</v>
      </c>
      <c r="E59" s="95">
        <f t="shared" si="17"/>
        <v>0</v>
      </c>
      <c r="F59" s="95">
        <f t="shared" si="17"/>
        <v>0</v>
      </c>
      <c r="G59" s="95">
        <f t="shared" si="17"/>
        <v>0</v>
      </c>
      <c r="H59" s="95">
        <f t="shared" si="17"/>
        <v>0</v>
      </c>
      <c r="I59" s="95">
        <f t="shared" si="17"/>
        <v>0</v>
      </c>
      <c r="J59" s="95">
        <f t="shared" si="17"/>
        <v>0</v>
      </c>
      <c r="K59" s="95">
        <f t="shared" si="17"/>
        <v>0</v>
      </c>
      <c r="L59" s="376">
        <f>SUM(D59:INDEX(D59:K59,0,MATCH('RFPR cover'!$C$7,$D$6:$K$6,0)))</f>
        <v>0</v>
      </c>
      <c r="M59" s="604">
        <f>SUM(D59:K59)</f>
        <v>0</v>
      </c>
      <c r="N59" s="371"/>
    </row>
    <row r="60" spans="1:20">
      <c r="A60" s="36"/>
      <c r="B60" s="800"/>
      <c r="N60" s="369"/>
    </row>
    <row r="61" spans="1:20">
      <c r="A61" s="36"/>
      <c r="B61" s="808" t="s">
        <v>181</v>
      </c>
      <c r="N61" s="369"/>
    </row>
    <row r="62" spans="1:20">
      <c r="A62" s="36"/>
      <c r="B62" s="800" t="s">
        <v>180</v>
      </c>
      <c r="C62" s="163" t="str">
        <f>'RFPR cover'!$C$14</f>
        <v>£m 12/13</v>
      </c>
      <c r="D62" s="97">
        <f>D46+D58</f>
        <v>0</v>
      </c>
      <c r="E62" s="98">
        <f t="shared" ref="E62:K62" si="18">E46+E58</f>
        <v>0</v>
      </c>
      <c r="F62" s="98">
        <f t="shared" si="18"/>
        <v>0</v>
      </c>
      <c r="G62" s="98">
        <f t="shared" si="18"/>
        <v>0</v>
      </c>
      <c r="H62" s="98">
        <f t="shared" si="18"/>
        <v>0</v>
      </c>
      <c r="I62" s="98">
        <f t="shared" si="18"/>
        <v>0</v>
      </c>
      <c r="J62" s="98">
        <f t="shared" si="18"/>
        <v>0</v>
      </c>
      <c r="K62" s="98">
        <f t="shared" si="18"/>
        <v>0</v>
      </c>
      <c r="L62" s="375">
        <f>SUM(D62:INDEX(D62:K62,0,MATCH('RFPR cover'!$C$7,$D$6:$K$6,0)))</f>
        <v>0</v>
      </c>
      <c r="M62" s="603">
        <f>SUM(D62:K62)</f>
        <v>0</v>
      </c>
      <c r="N62" s="371"/>
    </row>
    <row r="63" spans="1:20">
      <c r="A63" s="36"/>
      <c r="B63" s="800" t="s">
        <v>280</v>
      </c>
      <c r="C63" s="163" t="str">
        <f>'RFPR cover'!$C$14</f>
        <v>£m 12/13</v>
      </c>
      <c r="D63" s="100">
        <f>D47+D59</f>
        <v>0</v>
      </c>
      <c r="E63" s="101">
        <f t="shared" ref="E63:K63" si="19">E47+E59</f>
        <v>0</v>
      </c>
      <c r="F63" s="101">
        <f t="shared" si="19"/>
        <v>0</v>
      </c>
      <c r="G63" s="101">
        <f t="shared" si="19"/>
        <v>0</v>
      </c>
      <c r="H63" s="101">
        <f t="shared" si="19"/>
        <v>0</v>
      </c>
      <c r="I63" s="101">
        <f t="shared" si="19"/>
        <v>0</v>
      </c>
      <c r="J63" s="101">
        <f t="shared" si="19"/>
        <v>0</v>
      </c>
      <c r="K63" s="101">
        <f t="shared" si="19"/>
        <v>0</v>
      </c>
      <c r="L63" s="377">
        <f>SUM(D63:INDEX(D63:K63,0,MATCH('RFPR cover'!$C$7,$D$6:$K$6,0)))</f>
        <v>0</v>
      </c>
      <c r="M63" s="604">
        <f>SUM(D63:K63)</f>
        <v>0</v>
      </c>
      <c r="N63" s="371"/>
    </row>
    <row r="64" spans="1:20">
      <c r="A64" s="36"/>
      <c r="B64" s="808" t="s">
        <v>11</v>
      </c>
      <c r="C64" s="164" t="str">
        <f>'RFPR cover'!$C$14</f>
        <v>£m 12/13</v>
      </c>
      <c r="D64" s="147">
        <f>SUM(D62:D63)</f>
        <v>0</v>
      </c>
      <c r="E64" s="148">
        <f t="shared" ref="E64:K64" si="20">SUM(E62:E63)</f>
        <v>0</v>
      </c>
      <c r="F64" s="148">
        <f t="shared" si="20"/>
        <v>0</v>
      </c>
      <c r="G64" s="148">
        <f t="shared" si="20"/>
        <v>0</v>
      </c>
      <c r="H64" s="148">
        <f t="shared" si="20"/>
        <v>0</v>
      </c>
      <c r="I64" s="148">
        <f t="shared" si="20"/>
        <v>0</v>
      </c>
      <c r="J64" s="148">
        <f t="shared" si="20"/>
        <v>0</v>
      </c>
      <c r="K64" s="148">
        <f t="shared" si="20"/>
        <v>0</v>
      </c>
      <c r="L64" s="378">
        <f>SUM(D64:INDEX(D64:K64,0,MATCH('RFPR cover'!$C$7,$D$6:$K$6,0)))</f>
        <v>0</v>
      </c>
      <c r="M64" s="379">
        <f>SUM(D64:K64)</f>
        <v>0</v>
      </c>
      <c r="N64" s="372"/>
    </row>
    <row r="65" spans="1:20">
      <c r="A65" s="36"/>
      <c r="B65" s="808"/>
      <c r="C65" s="164"/>
      <c r="D65" s="164"/>
      <c r="E65" s="164"/>
      <c r="F65" s="164"/>
      <c r="G65" s="164"/>
      <c r="H65" s="164"/>
      <c r="I65" s="164"/>
      <c r="J65" s="164"/>
      <c r="K65" s="164"/>
      <c r="L65" s="164"/>
      <c r="M65" s="164"/>
    </row>
    <row r="66" spans="1:20">
      <c r="A66" s="36"/>
      <c r="B66" s="803" t="s">
        <v>257</v>
      </c>
      <c r="C66" s="158"/>
      <c r="D66" s="83"/>
      <c r="E66" s="83"/>
      <c r="F66" s="83"/>
      <c r="G66" s="83"/>
      <c r="H66" s="83"/>
      <c r="I66" s="83"/>
      <c r="J66" s="83"/>
      <c r="K66" s="83"/>
      <c r="L66" s="83"/>
      <c r="M66" s="83"/>
      <c r="N66" s="83"/>
    </row>
    <row r="67" spans="1:20">
      <c r="A67" s="36"/>
      <c r="B67" s="800"/>
      <c r="O67"/>
      <c r="P67"/>
      <c r="Q67"/>
      <c r="R67"/>
      <c r="S67"/>
      <c r="T67"/>
    </row>
    <row r="68" spans="1:20">
      <c r="A68" s="36"/>
      <c r="B68" s="808" t="s">
        <v>181</v>
      </c>
    </row>
    <row r="69" spans="1:20">
      <c r="A69" s="36"/>
      <c r="B69" s="800" t="s">
        <v>180</v>
      </c>
      <c r="C69" s="163" t="str">
        <f>'RFPR cover'!$C$14</f>
        <v>£m 12/13</v>
      </c>
      <c r="D69" s="97">
        <f>D34+D62</f>
        <v>1.2753830650894942</v>
      </c>
      <c r="E69" s="98">
        <f t="shared" ref="E69:K69" si="21">E34+E62</f>
        <v>-3.3066918809959702</v>
      </c>
      <c r="F69" s="98">
        <f t="shared" si="21"/>
        <v>-5.7119875331056891</v>
      </c>
      <c r="G69" s="98">
        <f t="shared" si="21"/>
        <v>7.622993547489374</v>
      </c>
      <c r="H69" s="98">
        <f t="shared" si="21"/>
        <v>1.0666811550366655</v>
      </c>
      <c r="I69" s="98">
        <f t="shared" si="21"/>
        <v>2.7213440228910075</v>
      </c>
      <c r="J69" s="98">
        <f t="shared" si="21"/>
        <v>4.1160974763017544</v>
      </c>
      <c r="K69" s="98">
        <f t="shared" si="21"/>
        <v>5.2594660570627445</v>
      </c>
      <c r="L69" s="97">
        <f>SUM(D69:INDEX(D69:K69,0,MATCH('RFPR cover'!$C$7,$D$6:$K$6,0)))</f>
        <v>-0.12030280152279094</v>
      </c>
      <c r="M69" s="99">
        <f>SUM(D69:K69)</f>
        <v>13.043285909769381</v>
      </c>
    </row>
    <row r="70" spans="1:20">
      <c r="A70" s="36"/>
      <c r="B70" s="800" t="s">
        <v>280</v>
      </c>
      <c r="C70" s="163" t="str">
        <f>'RFPR cover'!$C$14</f>
        <v>£m 12/13</v>
      </c>
      <c r="D70" s="546">
        <f t="shared" ref="D70:K70" si="22">D35+D63</f>
        <v>2.9758938185421524</v>
      </c>
      <c r="E70" s="547">
        <f t="shared" si="22"/>
        <v>-7.7156143889905948</v>
      </c>
      <c r="F70" s="547">
        <f t="shared" si="22"/>
        <v>-13.327970910579939</v>
      </c>
      <c r="G70" s="547">
        <f t="shared" si="22"/>
        <v>17.786984944141867</v>
      </c>
      <c r="H70" s="547">
        <f t="shared" si="22"/>
        <v>2.4889226950855523</v>
      </c>
      <c r="I70" s="547">
        <f t="shared" si="22"/>
        <v>6.3498027200790164</v>
      </c>
      <c r="J70" s="547">
        <f t="shared" si="22"/>
        <v>9.6042274447040903</v>
      </c>
      <c r="K70" s="547">
        <f t="shared" si="22"/>
        <v>12.272087466479736</v>
      </c>
      <c r="L70" s="546">
        <f>SUM(D70:INDEX(D70:K70,0,MATCH('RFPR cover'!$C$7,$D$6:$K$6,0)))</f>
        <v>-0.28070653688651603</v>
      </c>
      <c r="M70" s="548">
        <f>SUM(D70:K70)</f>
        <v>30.434333789461878</v>
      </c>
    </row>
    <row r="71" spans="1:20">
      <c r="A71" s="36"/>
      <c r="B71" s="808" t="s">
        <v>11</v>
      </c>
      <c r="C71" s="164" t="str">
        <f>'RFPR cover'!$C$14</f>
        <v>£m 12/13</v>
      </c>
      <c r="D71" s="153">
        <f>SUM(D69:D70)</f>
        <v>4.2512768836316468</v>
      </c>
      <c r="E71" s="154">
        <f t="shared" ref="E71:K71" si="23">SUM(E69:E70)</f>
        <v>-11.022306269986565</v>
      </c>
      <c r="F71" s="154">
        <f t="shared" si="23"/>
        <v>-19.039958443685627</v>
      </c>
      <c r="G71" s="154">
        <f t="shared" si="23"/>
        <v>25.409978491631243</v>
      </c>
      <c r="H71" s="154">
        <f t="shared" si="23"/>
        <v>3.5556038501222176</v>
      </c>
      <c r="I71" s="154">
        <f t="shared" si="23"/>
        <v>9.0711467429700239</v>
      </c>
      <c r="J71" s="154">
        <f t="shared" si="23"/>
        <v>13.720324921005844</v>
      </c>
      <c r="K71" s="154">
        <f t="shared" si="23"/>
        <v>17.531553523542481</v>
      </c>
      <c r="L71" s="153">
        <f>SUM(D71:INDEX(D71:K71,0,MATCH('RFPR cover'!$C$7,$D$6:$K$6,0)))</f>
        <v>-0.40100933840930253</v>
      </c>
      <c r="M71" s="155">
        <f>SUM(D71:K71)</f>
        <v>43.477619699231269</v>
      </c>
    </row>
    <row r="72" spans="1:20">
      <c r="A72" s="36"/>
      <c r="B72" s="808"/>
      <c r="C72" s="164"/>
      <c r="D72" s="164"/>
      <c r="E72" s="164"/>
      <c r="F72" s="164"/>
      <c r="G72" s="164"/>
      <c r="H72" s="164"/>
      <c r="I72" s="164"/>
      <c r="J72" s="164"/>
      <c r="K72" s="164"/>
      <c r="L72" s="164"/>
      <c r="M72" s="164"/>
    </row>
    <row r="73" spans="1:20">
      <c r="A73" s="36"/>
      <c r="B73" s="800"/>
    </row>
    <row r="74" spans="1:20">
      <c r="A74" s="36"/>
      <c r="B74" s="803" t="s">
        <v>214</v>
      </c>
      <c r="C74" s="158"/>
      <c r="D74" s="82"/>
      <c r="E74" s="82"/>
      <c r="F74" s="82"/>
      <c r="G74" s="82"/>
      <c r="H74" s="82"/>
      <c r="I74" s="82"/>
      <c r="J74" s="82"/>
      <c r="K74" s="82"/>
      <c r="L74" s="82"/>
      <c r="M74" s="82"/>
      <c r="N74" s="82"/>
    </row>
    <row r="75" spans="1:20">
      <c r="A75" s="36"/>
      <c r="B75" s="389" t="s">
        <v>213</v>
      </c>
      <c r="C75" s="388"/>
      <c r="D75" s="388"/>
      <c r="E75" s="388"/>
      <c r="F75" s="388"/>
      <c r="G75" s="388"/>
      <c r="H75" s="388"/>
      <c r="I75" s="388"/>
      <c r="J75" s="388"/>
      <c r="K75" s="388"/>
      <c r="L75" s="388"/>
      <c r="M75" s="388"/>
      <c r="N75" s="388"/>
    </row>
    <row r="76" spans="1:20" s="36" customFormat="1">
      <c r="B76" s="454"/>
      <c r="C76" s="393"/>
      <c r="D76" s="393"/>
      <c r="E76" s="393"/>
      <c r="F76" s="393"/>
      <c r="G76" s="393"/>
      <c r="H76" s="393"/>
      <c r="I76" s="393"/>
      <c r="J76" s="393"/>
      <c r="K76" s="393"/>
      <c r="L76" s="393"/>
      <c r="M76" s="393"/>
      <c r="N76" s="393"/>
    </row>
    <row r="77" spans="1:20">
      <c r="A77" s="36"/>
      <c r="B77" s="807" t="s">
        <v>217</v>
      </c>
      <c r="C77" s="163" t="str">
        <f>'RFPR cover'!$C$14</f>
        <v>£m 12/13</v>
      </c>
      <c r="D77" s="690">
        <f>INDEX(Data!$C$119:$L$146,MATCH('RFPR cover'!$C$5,Data!$B$119:$B$146,0),MATCH('R4 - Totex'!D$6,Data!$C$118:$L$118,0))</f>
        <v>5.3762701961708466</v>
      </c>
      <c r="E77" s="691">
        <f>INDEX(Data!$C$119:$L$146,MATCH('RFPR cover'!$C$5,Data!$B$119:$B$146,0),MATCH('R4 - Totex'!E$6,Data!$C$118:$L$118,0))</f>
        <v>5.3775969760840585</v>
      </c>
      <c r="F77" s="691">
        <f>INDEX(Data!$C$119:$L$146,MATCH('RFPR cover'!$C$5,Data!$B$119:$B$146,0),MATCH('R4 - Totex'!F$6,Data!$C$118:$L$118,0))</f>
        <v>5.2618102801807671</v>
      </c>
      <c r="G77" s="691">
        <f>INDEX(Data!$C$119:$L$146,MATCH('RFPR cover'!$C$5,Data!$B$119:$B$146,0),MATCH('R4 - Totex'!G$6,Data!$C$118:$L$118,0))</f>
        <v>5.360849180672294</v>
      </c>
      <c r="H77" s="691">
        <f>INDEX(Data!$C$119:$L$146,MATCH('RFPR cover'!$C$5,Data!$B$119:$B$146,0),MATCH('R4 - Totex'!H$6,Data!$C$118:$L$118,0))</f>
        <v>5.2665238228731912</v>
      </c>
      <c r="I77" s="691">
        <f>INDEX(Data!$C$119:$L$146,MATCH('RFPR cover'!$C$5,Data!$B$119:$B$146,0),MATCH('R4 - Totex'!I$6,Data!$C$118:$L$118,0))</f>
        <v>5.3271179030285305</v>
      </c>
      <c r="J77" s="691">
        <f>INDEX(Data!$C$119:$L$146,MATCH('RFPR cover'!$C$5,Data!$B$119:$B$146,0),MATCH('R4 - Totex'!J$6,Data!$C$118:$L$118,0))</f>
        <v>5.3223294006601192</v>
      </c>
      <c r="K77" s="692">
        <f>INDEX(Data!$C$119:$L$146,MATCH('RFPR cover'!$C$5,Data!$B$119:$B$146,0),MATCH('R4 - Totex'!K$6,Data!$C$118:$L$118,0))</f>
        <v>5.5699880746272257</v>
      </c>
      <c r="L77" s="100">
        <f>SUM(D77:INDEX(D77:K77,0,MATCH('RFPR cover'!$C$7,$D$6:$K$6,0)))</f>
        <v>21.376526633107964</v>
      </c>
      <c r="M77" s="102">
        <f>SUM(D77:K77)</f>
        <v>42.862485834297026</v>
      </c>
    </row>
    <row r="78" spans="1:20">
      <c r="A78" s="36"/>
      <c r="B78" s="235" t="s">
        <v>201</v>
      </c>
      <c r="C78" s="163" t="s">
        <v>7</v>
      </c>
      <c r="D78" s="914">
        <f>IF(INDEX(Data!$J$73:$J$100,MATCH('RFPR cover'!$C$5,Data!$B$73:$B$100,0),0)="Pre",INDEX(Data!$G$18:$G$27,MATCH('R4 - Totex'!D$6,Data!$C$18:$C$27,0),0),"n/a")</f>
        <v>0.2</v>
      </c>
      <c r="E78" s="914">
        <f>IF(INDEX(Data!$J$73:$J$100,MATCH('RFPR cover'!$C$5,Data!$B$73:$B$100,0),0)="Pre",INDEX(Data!$G$18:$G$27,MATCH('R4 - Totex'!E$6,Data!$C$18:$C$27,0),0),"n/a")</f>
        <v>0.2</v>
      </c>
      <c r="F78" s="914">
        <f>IF(INDEX(Data!$J$73:$J$100,MATCH('RFPR cover'!$C$5,Data!$B$73:$B$100,0),0)="Pre",INDEX(Data!$G$18:$G$27,MATCH('R4 - Totex'!F$6,Data!$C$18:$C$27,0),0),"n/a")</f>
        <v>0.19</v>
      </c>
      <c r="G78" s="914">
        <f>IF(INDEX(Data!$J$73:$J$100,MATCH('RFPR cover'!$C$5,Data!$B$73:$B$100,0),0)="Pre",INDEX(Data!$G$18:$G$27,MATCH('R4 - Totex'!G$6,Data!$C$18:$C$27,0),0),"n/a")</f>
        <v>0.19</v>
      </c>
      <c r="H78" s="914">
        <f>IF(INDEX(Data!$J$73:$J$100,MATCH('RFPR cover'!$C$5,Data!$B$73:$B$100,0),0)="Pre",INDEX(Data!$G$18:$G$27,MATCH('R4 - Totex'!H$6,Data!$C$18:$C$27,0),0),"n/a")</f>
        <v>0.19</v>
      </c>
      <c r="I78" s="914">
        <f>IF(INDEX(Data!$J$73:$J$100,MATCH('RFPR cover'!$C$5,Data!$B$73:$B$100,0),0)="Pre",INDEX(Data!$G$18:$G$27,MATCH('R4 - Totex'!I$6,Data!$C$18:$C$27,0),0),"n/a")</f>
        <v>0.17</v>
      </c>
      <c r="J78" s="914">
        <f>IF(INDEX(Data!$J$73:$J$100,MATCH('RFPR cover'!$C$5,Data!$B$73:$B$100,0),0)="Pre",INDEX(Data!$G$18:$G$27,MATCH('R4 - Totex'!J$6,Data!$C$18:$C$27,0),0),"n/a")</f>
        <v>0.17</v>
      </c>
      <c r="K78" s="914">
        <f>IF(INDEX(Data!$J$73:$J$100,MATCH('RFPR cover'!$C$5,Data!$B$73:$B$100,0),0)="Pre",INDEX(Data!$G$18:$G$27,MATCH('R4 - Totex'!K$6,Data!$C$18:$C$27,0),0),"n/a")</f>
        <v>0.17</v>
      </c>
      <c r="L78" s="912"/>
      <c r="M78" s="913"/>
    </row>
    <row r="79" spans="1:20">
      <c r="A79" s="36"/>
      <c r="B79" s="235" t="s">
        <v>210</v>
      </c>
      <c r="C79" s="163" t="str">
        <f>'RFPR cover'!$C$14</f>
        <v>£m 12/13</v>
      </c>
      <c r="D79" s="637">
        <f>IF(ISNUMBER(D78),D77*(1-D78),D77)</f>
        <v>4.3010161569366776</v>
      </c>
      <c r="E79" s="638">
        <f t="shared" ref="E79:K79" si="24">IF(ISNUMBER(E78),E77*(1-E78),E77)</f>
        <v>4.3020775808672473</v>
      </c>
      <c r="F79" s="638">
        <f t="shared" si="24"/>
        <v>4.2620663269464218</v>
      </c>
      <c r="G79" s="638">
        <f t="shared" si="24"/>
        <v>4.3422878363445587</v>
      </c>
      <c r="H79" s="638">
        <f t="shared" si="24"/>
        <v>4.2658842965272852</v>
      </c>
      <c r="I79" s="638">
        <f t="shared" si="24"/>
        <v>4.4215078595136799</v>
      </c>
      <c r="J79" s="638">
        <f t="shared" si="24"/>
        <v>4.4175334025478987</v>
      </c>
      <c r="K79" s="639">
        <f t="shared" si="24"/>
        <v>4.6230901019405968</v>
      </c>
      <c r="L79" s="696">
        <f>SUM(D79:INDEX(D79:K79,0,MATCH('RFPR cover'!$C$7,$D$6:$K$6,0)))</f>
        <v>17.207447901094902</v>
      </c>
      <c r="M79" s="697">
        <f>SUM(D79:K79)</f>
        <v>34.93546356162436</v>
      </c>
    </row>
    <row r="80" spans="1:20">
      <c r="A80" s="36"/>
      <c r="B80" s="235"/>
      <c r="C80" s="67"/>
      <c r="D80" s="297"/>
      <c r="E80" s="297"/>
      <c r="F80" s="297"/>
      <c r="G80" s="297"/>
      <c r="H80" s="297"/>
      <c r="I80" s="297"/>
      <c r="J80" s="297"/>
      <c r="K80" s="297"/>
      <c r="L80" s="298"/>
      <c r="M80" s="298"/>
    </row>
    <row r="81" spans="1:20">
      <c r="A81" s="36"/>
      <c r="B81" s="235"/>
      <c r="C81" s="67"/>
      <c r="D81" s="297"/>
      <c r="E81" s="297"/>
      <c r="F81" s="297"/>
      <c r="G81" s="297"/>
      <c r="H81" s="297"/>
      <c r="I81" s="297"/>
      <c r="J81" s="297"/>
      <c r="K81" s="297"/>
      <c r="L81" s="298"/>
      <c r="M81" s="298"/>
    </row>
    <row r="82" spans="1:20">
      <c r="A82" s="36"/>
      <c r="B82" s="235"/>
      <c r="C82" s="67"/>
      <c r="D82" s="297"/>
      <c r="E82" s="297"/>
      <c r="F82" s="297"/>
      <c r="G82" s="297"/>
      <c r="H82" s="297"/>
      <c r="I82" s="297"/>
      <c r="J82" s="297"/>
      <c r="K82" s="297"/>
      <c r="L82" s="298"/>
      <c r="M82" s="298"/>
    </row>
    <row r="83" spans="1:20">
      <c r="A83" s="36"/>
      <c r="B83" s="800"/>
    </row>
    <row r="84" spans="1:20">
      <c r="A84" s="36"/>
      <c r="B84" s="802" t="s">
        <v>187</v>
      </c>
      <c r="C84" s="306"/>
      <c r="D84" s="308"/>
      <c r="E84" s="308"/>
      <c r="F84" s="308"/>
      <c r="G84" s="308"/>
      <c r="H84" s="308"/>
      <c r="I84" s="308"/>
      <c r="J84" s="308"/>
      <c r="K84" s="308"/>
      <c r="L84" s="308"/>
      <c r="M84" s="308"/>
      <c r="N84" s="308"/>
    </row>
    <row r="85" spans="1:20">
      <c r="A85" s="36"/>
      <c r="B85" s="808"/>
    </row>
    <row r="86" spans="1:20">
      <c r="A86" s="36"/>
      <c r="B86" s="807" t="str">
        <f>Data!B34</f>
        <v>Financial Year Average RPI (RPIt)</v>
      </c>
      <c r="C86" s="144" t="s">
        <v>127</v>
      </c>
      <c r="D86" s="114">
        <f>Data!C$34</f>
        <v>1.0603167467048125</v>
      </c>
      <c r="E86" s="115">
        <f>Data!D$34</f>
        <v>1.0830366813119445</v>
      </c>
      <c r="F86" s="115">
        <f>Data!E$34</f>
        <v>1.1235639113109226</v>
      </c>
      <c r="G86" s="115">
        <f>Data!F$34</f>
        <v>1.1578951670583426</v>
      </c>
      <c r="H86" s="115">
        <f>Data!G$34</f>
        <v>1.1882899151936241</v>
      </c>
      <c r="I86" s="115">
        <f>Data!H$34</f>
        <v>1.2212649603402472</v>
      </c>
      <c r="J86" s="115">
        <f>Data!I$34</f>
        <v>1.2582082253905398</v>
      </c>
      <c r="K86" s="116">
        <f>Data!J$34</f>
        <v>1.296898128321299</v>
      </c>
    </row>
    <row r="87" spans="1:20">
      <c r="A87" s="36"/>
      <c r="B87" s="807"/>
      <c r="D87" s="144"/>
      <c r="E87" s="144"/>
      <c r="F87" s="144"/>
      <c r="G87" s="144"/>
      <c r="H87" s="144"/>
      <c r="I87" s="144"/>
      <c r="J87" s="144"/>
      <c r="K87" s="144"/>
    </row>
    <row r="88" spans="1:20">
      <c r="A88" s="36"/>
      <c r="B88" s="803" t="str">
        <f>B10</f>
        <v>Totex</v>
      </c>
      <c r="C88" s="158"/>
      <c r="D88" s="83"/>
      <c r="E88" s="83"/>
      <c r="F88" s="83"/>
      <c r="G88" s="83"/>
      <c r="H88" s="83"/>
      <c r="I88" s="83"/>
      <c r="J88" s="83"/>
      <c r="K88" s="83"/>
      <c r="L88" s="83"/>
      <c r="M88" s="83"/>
      <c r="N88" s="83"/>
    </row>
    <row r="89" spans="1:20" s="36" customFormat="1">
      <c r="B89" s="804"/>
      <c r="C89" s="146"/>
      <c r="D89" s="339"/>
      <c r="E89" s="339"/>
      <c r="F89" s="339"/>
      <c r="G89" s="339"/>
      <c r="H89" s="339"/>
      <c r="I89" s="339"/>
      <c r="J89" s="339"/>
      <c r="K89" s="339"/>
      <c r="L89" s="339"/>
      <c r="M89" s="339"/>
      <c r="N89" s="339"/>
    </row>
    <row r="90" spans="1:20">
      <c r="A90" s="36"/>
      <c r="B90" s="324" t="s">
        <v>34</v>
      </c>
      <c r="C90" s="163" t="s">
        <v>128</v>
      </c>
      <c r="D90" s="699">
        <f t="shared" ref="D90:K91" si="25">D12*D$86</f>
        <v>223.13980000000001</v>
      </c>
      <c r="E90" s="699">
        <f t="shared" si="25"/>
        <v>260.29651999999999</v>
      </c>
      <c r="F90" s="699">
        <f t="shared" si="25"/>
        <v>234.35874164776092</v>
      </c>
      <c r="G90" s="699">
        <f t="shared" si="25"/>
        <v>222.07290822627604</v>
      </c>
      <c r="H90" s="699">
        <f t="shared" si="25"/>
        <v>249.94133972782171</v>
      </c>
      <c r="I90" s="699">
        <f t="shared" si="25"/>
        <v>251.81418669678519</v>
      </c>
      <c r="J90" s="699">
        <f t="shared" si="25"/>
        <v>254.04301438845602</v>
      </c>
      <c r="K90" s="699">
        <f t="shared" si="25"/>
        <v>265.08054218782661</v>
      </c>
      <c r="L90" s="698">
        <f>SUM(D90:INDEX(D90:K90,0,MATCH('RFPR cover'!$C$7,$D$6:$K$6,0)))</f>
        <v>939.86796987403693</v>
      </c>
      <c r="M90" s="699">
        <f>SUM(D90:K90)</f>
        <v>1960.7470528749263</v>
      </c>
      <c r="N90" s="64"/>
      <c r="O90" s="64"/>
    </row>
    <row r="91" spans="1:20" ht="25.5">
      <c r="A91" s="36"/>
      <c r="B91" s="805" t="s">
        <v>197</v>
      </c>
      <c r="C91" s="163" t="s">
        <v>128</v>
      </c>
      <c r="D91" s="699">
        <f t="shared" si="25"/>
        <v>227.64750007459369</v>
      </c>
      <c r="E91" s="699">
        <f t="shared" si="25"/>
        <v>233.1812827911611</v>
      </c>
      <c r="F91" s="699">
        <f t="shared" si="25"/>
        <v>237.4356038833044</v>
      </c>
      <c r="G91" s="699">
        <f t="shared" si="25"/>
        <v>248.29205430516498</v>
      </c>
      <c r="H91" s="699">
        <f t="shared" si="25"/>
        <v>250.3262858738874</v>
      </c>
      <c r="I91" s="699">
        <f t="shared" si="25"/>
        <v>256.4714013049504</v>
      </c>
      <c r="J91" s="699">
        <f t="shared" si="25"/>
        <v>263.98866387173558</v>
      </c>
      <c r="K91" s="699">
        <f t="shared" si="25"/>
        <v>284.95383811501057</v>
      </c>
      <c r="L91" s="700">
        <f>SUM(D91:INDEX(D91:K91,0,MATCH('RFPR cover'!$C$7,$D$6:$K$6,0)))</f>
        <v>946.55644105422425</v>
      </c>
      <c r="M91" s="701">
        <f>SUM(D91:K91)</f>
        <v>2002.2966302198081</v>
      </c>
      <c r="N91" s="64"/>
      <c r="O91" s="64"/>
    </row>
    <row r="92" spans="1:20">
      <c r="A92" s="36"/>
      <c r="B92" s="806" t="s">
        <v>195</v>
      </c>
      <c r="C92" s="163" t="s">
        <v>128</v>
      </c>
      <c r="D92" s="104">
        <f>D91-D90</f>
        <v>4.5077000745936857</v>
      </c>
      <c r="E92" s="105">
        <f t="shared" ref="E92:M92" si="26">E91-E90</f>
        <v>-27.115237208838892</v>
      </c>
      <c r="F92" s="105">
        <f t="shared" si="26"/>
        <v>3.0768622355434729</v>
      </c>
      <c r="G92" s="105">
        <f t="shared" si="26"/>
        <v>26.21914607888894</v>
      </c>
      <c r="H92" s="105">
        <f t="shared" si="26"/>
        <v>0.38494614606568689</v>
      </c>
      <c r="I92" s="105">
        <f t="shared" si="26"/>
        <v>4.6572146081652193</v>
      </c>
      <c r="J92" s="105">
        <f t="shared" si="26"/>
        <v>9.945649483279567</v>
      </c>
      <c r="K92" s="106">
        <f t="shared" si="26"/>
        <v>19.87329592718396</v>
      </c>
      <c r="L92" s="104">
        <f t="shared" si="26"/>
        <v>6.6884711801873209</v>
      </c>
      <c r="M92" s="106">
        <f t="shared" si="26"/>
        <v>41.549577344881754</v>
      </c>
      <c r="N92" s="64"/>
      <c r="O92" s="989"/>
      <c r="P92" s="989"/>
      <c r="Q92" s="989"/>
      <c r="R92"/>
      <c r="S92"/>
      <c r="T92"/>
    </row>
    <row r="93" spans="1:20">
      <c r="A93" s="36"/>
      <c r="B93" s="806"/>
      <c r="C93" s="163"/>
      <c r="D93" s="60"/>
      <c r="E93" s="60"/>
      <c r="F93" s="60"/>
      <c r="G93" s="60"/>
      <c r="H93" s="60"/>
      <c r="I93" s="60"/>
      <c r="J93" s="60"/>
      <c r="K93" s="60"/>
      <c r="L93" s="60"/>
      <c r="M93" s="60"/>
      <c r="O93" s="65"/>
      <c r="P93" s="65"/>
      <c r="Q93" s="65"/>
      <c r="R93"/>
      <c r="S93"/>
      <c r="T93"/>
    </row>
    <row r="94" spans="1:20">
      <c r="A94" s="36"/>
      <c r="B94" s="800" t="s">
        <v>178</v>
      </c>
      <c r="C94" s="144" t="s">
        <v>7</v>
      </c>
      <c r="D94" s="111">
        <f>1-INDEX(Data!$D$73:$D$100,MATCH('RFPR cover'!$C$5,Data!$B$73:$B$100,0),0)</f>
        <v>0.30000000000000004</v>
      </c>
      <c r="E94" s="112">
        <f>1-INDEX(Data!$D$73:$D$100,MATCH('RFPR cover'!$C$5,Data!$B$73:$B$100,0),0)</f>
        <v>0.30000000000000004</v>
      </c>
      <c r="F94" s="112">
        <f>1-INDEX(Data!$D$73:$D$100,MATCH('RFPR cover'!$C$5,Data!$B$73:$B$100,0),0)</f>
        <v>0.30000000000000004</v>
      </c>
      <c r="G94" s="112">
        <f>1-INDEX(Data!$D$73:$D$100,MATCH('RFPR cover'!$C$5,Data!$B$73:$B$100,0),0)</f>
        <v>0.30000000000000004</v>
      </c>
      <c r="H94" s="112">
        <f>1-INDEX(Data!$D$73:$D$100,MATCH('RFPR cover'!$C$5,Data!$B$73:$B$100,0),0)</f>
        <v>0.30000000000000004</v>
      </c>
      <c r="I94" s="112">
        <f>1-INDEX(Data!$D$73:$D$100,MATCH('RFPR cover'!$C$5,Data!$B$73:$B$100,0),0)</f>
        <v>0.30000000000000004</v>
      </c>
      <c r="J94" s="112">
        <f>1-INDEX(Data!$D$73:$D$100,MATCH('RFPR cover'!$C$5,Data!$B$73:$B$100,0),0)</f>
        <v>0.30000000000000004</v>
      </c>
      <c r="K94" s="113">
        <f>1-INDEX(Data!$D$73:$D$100,MATCH('RFPR cover'!$C$5,Data!$B$73:$B$100,0),0)</f>
        <v>0.30000000000000004</v>
      </c>
      <c r="L94" s="63"/>
      <c r="M94" s="63"/>
      <c r="O94"/>
      <c r="P94"/>
      <c r="Q94"/>
      <c r="R94"/>
      <c r="S94"/>
      <c r="T94"/>
    </row>
    <row r="95" spans="1:20">
      <c r="A95" s="36"/>
      <c r="B95" s="800"/>
      <c r="O95"/>
      <c r="P95"/>
      <c r="Q95"/>
      <c r="R95"/>
      <c r="S95"/>
      <c r="T95"/>
    </row>
    <row r="96" spans="1:20">
      <c r="A96" s="36"/>
      <c r="B96" s="807" t="s">
        <v>183</v>
      </c>
      <c r="C96" s="163" t="s">
        <v>128</v>
      </c>
      <c r="D96" s="97">
        <f>D92*D94</f>
        <v>1.3523100223781059</v>
      </c>
      <c r="E96" s="98">
        <f t="shared" ref="E96:K96" si="27">E92*E94</f>
        <v>-8.1345711626516692</v>
      </c>
      <c r="F96" s="98">
        <f t="shared" si="27"/>
        <v>0.92305867066304204</v>
      </c>
      <c r="G96" s="98">
        <f t="shared" si="27"/>
        <v>7.8657438236666835</v>
      </c>
      <c r="H96" s="98">
        <f t="shared" si="27"/>
        <v>0.11548384381970608</v>
      </c>
      <c r="I96" s="98">
        <f t="shared" si="27"/>
        <v>1.3971643824495661</v>
      </c>
      <c r="J96" s="98">
        <f t="shared" si="27"/>
        <v>2.9836948449838707</v>
      </c>
      <c r="K96" s="98">
        <f t="shared" si="27"/>
        <v>5.961988778155189</v>
      </c>
      <c r="L96" s="97">
        <f>SUM(D96:INDEX(D96:K96,0,MATCH('RFPR cover'!$C$7,$D$6:$K$6,0)))</f>
        <v>2.0065413540561616</v>
      </c>
      <c r="M96" s="99">
        <f>SUM(D96:K96)</f>
        <v>12.464873203464492</v>
      </c>
      <c r="O96"/>
      <c r="P96"/>
      <c r="Q96"/>
      <c r="R96"/>
      <c r="S96"/>
      <c r="T96"/>
    </row>
    <row r="97" spans="1:20">
      <c r="A97" s="36"/>
      <c r="B97" s="807" t="s">
        <v>280</v>
      </c>
      <c r="C97" s="163" t="s">
        <v>128</v>
      </c>
      <c r="D97" s="94">
        <f>D92*(1-D94)</f>
        <v>3.15539005221558</v>
      </c>
      <c r="E97" s="95">
        <f t="shared" ref="E97:K97" si="28">E92*(1-E94)</f>
        <v>-18.980666046187224</v>
      </c>
      <c r="F97" s="95">
        <f t="shared" si="28"/>
        <v>2.1538035648804308</v>
      </c>
      <c r="G97" s="95">
        <f t="shared" si="28"/>
        <v>18.353402255222257</v>
      </c>
      <c r="H97" s="95">
        <f t="shared" si="28"/>
        <v>0.26946230224598078</v>
      </c>
      <c r="I97" s="95">
        <f t="shared" si="28"/>
        <v>3.2600502257156534</v>
      </c>
      <c r="J97" s="95">
        <f t="shared" si="28"/>
        <v>6.9619546382956967</v>
      </c>
      <c r="K97" s="95">
        <f t="shared" si="28"/>
        <v>13.911307149028772</v>
      </c>
      <c r="L97" s="94">
        <f>SUM(D97:INDEX(D97:K97,0,MATCH('RFPR cover'!$C$7,$D$6:$K$6,0)))</f>
        <v>4.6819298261310429</v>
      </c>
      <c r="M97" s="96">
        <f>SUM(D97:K97)</f>
        <v>29.084704141417145</v>
      </c>
      <c r="O97"/>
      <c r="P97"/>
      <c r="Q97"/>
      <c r="R97"/>
      <c r="S97"/>
      <c r="T97"/>
    </row>
    <row r="98" spans="1:20">
      <c r="A98" s="36"/>
      <c r="B98" s="800"/>
      <c r="O98"/>
      <c r="P98"/>
      <c r="Q98"/>
      <c r="R98"/>
      <c r="S98"/>
      <c r="T98"/>
    </row>
    <row r="99" spans="1:20">
      <c r="A99" s="36"/>
      <c r="B99" s="808" t="s">
        <v>182</v>
      </c>
      <c r="N99" s="64"/>
      <c r="O99"/>
      <c r="P99"/>
      <c r="Q99"/>
      <c r="R99"/>
      <c r="S99"/>
      <c r="T99"/>
    </row>
    <row r="100" spans="1:20">
      <c r="A100" s="283" t="s">
        <v>151</v>
      </c>
      <c r="B100" s="235" t="str">
        <f t="shared" ref="B100:B105" si="29">B22</f>
        <v>Pensions prepayment (See Appendices within RFPR commentary documentation)</v>
      </c>
      <c r="C100" s="163" t="s">
        <v>128</v>
      </c>
      <c r="D100" s="619">
        <f t="shared" ref="D100:K105" si="30">D22*D$86</f>
        <v>0</v>
      </c>
      <c r="E100" s="619">
        <f t="shared" si="30"/>
        <v>15.177675205788777</v>
      </c>
      <c r="F100" s="619">
        <f t="shared" si="30"/>
        <v>-14.637294573052088</v>
      </c>
      <c r="G100" s="619">
        <f t="shared" si="30"/>
        <v>-0.53897152548175187</v>
      </c>
      <c r="H100" s="619">
        <f t="shared" si="30"/>
        <v>0</v>
      </c>
      <c r="I100" s="619">
        <f t="shared" si="30"/>
        <v>0</v>
      </c>
      <c r="J100" s="619">
        <f t="shared" si="30"/>
        <v>0</v>
      </c>
      <c r="K100" s="619">
        <f t="shared" si="30"/>
        <v>0</v>
      </c>
      <c r="L100" s="611">
        <f>SUM(D100:INDEX(D100:K100,0,MATCH('RFPR cover'!$C$7,$D$6:$K$6,0)))</f>
        <v>1.4091072549368144E-3</v>
      </c>
      <c r="M100" s="612">
        <f t="shared" ref="M100:M106" si="31">SUM(D100:K100)</f>
        <v>1.4091072549368144E-3</v>
      </c>
      <c r="N100" s="64"/>
      <c r="O100"/>
      <c r="P100"/>
      <c r="Q100"/>
      <c r="R100"/>
      <c r="S100"/>
      <c r="T100"/>
    </row>
    <row r="101" spans="1:20">
      <c r="A101" s="283" t="s">
        <v>152</v>
      </c>
      <c r="B101" s="235" t="str">
        <f t="shared" si="29"/>
        <v>Rail Electrification (See Appendices within RFRS commentary documentation)</v>
      </c>
      <c r="C101" s="163" t="s">
        <v>128</v>
      </c>
      <c r="D101" s="619">
        <f t="shared" si="30"/>
        <v>0</v>
      </c>
      <c r="E101" s="619">
        <f t="shared" si="30"/>
        <v>0</v>
      </c>
      <c r="F101" s="619">
        <f t="shared" si="30"/>
        <v>-9.8321778426762236</v>
      </c>
      <c r="G101" s="619">
        <f t="shared" si="30"/>
        <v>3.7419167371090447</v>
      </c>
      <c r="H101" s="619">
        <f t="shared" si="30"/>
        <v>3.840142051458157</v>
      </c>
      <c r="I101" s="619">
        <f t="shared" si="30"/>
        <v>3.7614960778479611</v>
      </c>
      <c r="J101" s="619">
        <f t="shared" si="30"/>
        <v>2.8852930817736269</v>
      </c>
      <c r="K101" s="619">
        <f t="shared" si="30"/>
        <v>-4.0017090215411564</v>
      </c>
      <c r="L101" s="615">
        <f>SUM(D101:INDEX(D101:K101,0,MATCH('RFPR cover'!$C$7,$D$6:$K$6,0)))</f>
        <v>-6.0902611055671789</v>
      </c>
      <c r="M101" s="616">
        <f t="shared" si="31"/>
        <v>0.39496108397140972</v>
      </c>
      <c r="N101" s="64"/>
      <c r="O101"/>
      <c r="P101"/>
      <c r="Q101"/>
      <c r="R101"/>
      <c r="S101"/>
      <c r="T101"/>
    </row>
    <row r="102" spans="1:20">
      <c r="A102" s="283" t="s">
        <v>153</v>
      </c>
      <c r="B102" s="235" t="str">
        <f t="shared" si="29"/>
        <v>Specified Street Works</v>
      </c>
      <c r="C102" s="163" t="s">
        <v>128</v>
      </c>
      <c r="D102" s="619">
        <f t="shared" si="30"/>
        <v>0</v>
      </c>
      <c r="E102" s="619">
        <f t="shared" si="30"/>
        <v>0</v>
      </c>
      <c r="F102" s="619">
        <f t="shared" si="30"/>
        <v>0</v>
      </c>
      <c r="G102" s="619">
        <f t="shared" si="30"/>
        <v>0</v>
      </c>
      <c r="H102" s="619">
        <f t="shared" si="30"/>
        <v>0</v>
      </c>
      <c r="I102" s="619">
        <f t="shared" si="30"/>
        <v>2.6595629812806769</v>
      </c>
      <c r="J102" s="619">
        <f t="shared" si="30"/>
        <v>4.4320831055871359</v>
      </c>
      <c r="K102" s="619">
        <f t="shared" si="30"/>
        <v>6.8650520456041368</v>
      </c>
      <c r="L102" s="615">
        <f>SUM(D102:INDEX(D102:K102,0,MATCH('RFPR cover'!$C$7,$D$6:$K$6,0)))</f>
        <v>0</v>
      </c>
      <c r="M102" s="616">
        <f t="shared" si="31"/>
        <v>13.956698132471949</v>
      </c>
      <c r="N102" s="64"/>
      <c r="O102"/>
      <c r="P102"/>
      <c r="Q102"/>
      <c r="R102"/>
      <c r="S102" s="66"/>
      <c r="T102"/>
    </row>
    <row r="103" spans="1:20">
      <c r="A103" s="283" t="s">
        <v>168</v>
      </c>
      <c r="B103" s="235" t="str">
        <f t="shared" si="29"/>
        <v>[Enduring Value adjustment]</v>
      </c>
      <c r="C103" s="163" t="s">
        <v>128</v>
      </c>
      <c r="D103" s="619">
        <f t="shared" si="30"/>
        <v>0</v>
      </c>
      <c r="E103" s="619">
        <f t="shared" si="30"/>
        <v>0</v>
      </c>
      <c r="F103" s="619">
        <f t="shared" si="30"/>
        <v>0</v>
      </c>
      <c r="G103" s="619">
        <f t="shared" si="30"/>
        <v>0</v>
      </c>
      <c r="H103" s="619">
        <f t="shared" si="30"/>
        <v>0</v>
      </c>
      <c r="I103" s="619">
        <f t="shared" si="30"/>
        <v>0</v>
      </c>
      <c r="J103" s="619">
        <f t="shared" si="30"/>
        <v>0</v>
      </c>
      <c r="K103" s="619">
        <f t="shared" si="30"/>
        <v>0</v>
      </c>
      <c r="L103" s="615">
        <f>SUM(D103:INDEX(D103:K103,0,MATCH('RFPR cover'!$C$7,$D$6:$K$6,0)))</f>
        <v>0</v>
      </c>
      <c r="M103" s="616">
        <f t="shared" si="31"/>
        <v>0</v>
      </c>
      <c r="N103" s="64"/>
      <c r="O103"/>
      <c r="P103"/>
      <c r="Q103"/>
      <c r="R103"/>
      <c r="S103"/>
      <c r="T103"/>
    </row>
    <row r="104" spans="1:20">
      <c r="A104" s="283" t="s">
        <v>169</v>
      </c>
      <c r="B104" s="235" t="str">
        <f t="shared" si="29"/>
        <v>[Enduring Value adjustment]</v>
      </c>
      <c r="C104" s="163" t="s">
        <v>128</v>
      </c>
      <c r="D104" s="619">
        <f t="shared" si="30"/>
        <v>0</v>
      </c>
      <c r="E104" s="619">
        <f t="shared" si="30"/>
        <v>0</v>
      </c>
      <c r="F104" s="619">
        <f t="shared" si="30"/>
        <v>0</v>
      </c>
      <c r="G104" s="619">
        <f t="shared" si="30"/>
        <v>0</v>
      </c>
      <c r="H104" s="619">
        <f t="shared" si="30"/>
        <v>0</v>
      </c>
      <c r="I104" s="619">
        <f t="shared" si="30"/>
        <v>0</v>
      </c>
      <c r="J104" s="619">
        <f t="shared" si="30"/>
        <v>0</v>
      </c>
      <c r="K104" s="619">
        <f t="shared" si="30"/>
        <v>0</v>
      </c>
      <c r="L104" s="615">
        <f>SUM(D104:INDEX(D104:K104,0,MATCH('RFPR cover'!$C$7,$D$6:$K$6,0)))</f>
        <v>0</v>
      </c>
      <c r="M104" s="616">
        <f t="shared" si="31"/>
        <v>0</v>
      </c>
      <c r="N104" s="64"/>
      <c r="O104"/>
      <c r="P104"/>
      <c r="Q104"/>
      <c r="R104"/>
      <c r="S104"/>
      <c r="T104"/>
    </row>
    <row r="105" spans="1:20">
      <c r="A105" s="283" t="s">
        <v>170</v>
      </c>
      <c r="B105" s="235" t="str">
        <f t="shared" si="29"/>
        <v>[Enduring Value adjustment]</v>
      </c>
      <c r="C105" s="163" t="s">
        <v>128</v>
      </c>
      <c r="D105" s="619">
        <f t="shared" si="30"/>
        <v>0</v>
      </c>
      <c r="E105" s="619">
        <f t="shared" si="30"/>
        <v>0</v>
      </c>
      <c r="F105" s="619">
        <f t="shared" si="30"/>
        <v>0</v>
      </c>
      <c r="G105" s="619">
        <f t="shared" si="30"/>
        <v>0</v>
      </c>
      <c r="H105" s="619">
        <f t="shared" si="30"/>
        <v>0</v>
      </c>
      <c r="I105" s="619">
        <f t="shared" si="30"/>
        <v>0</v>
      </c>
      <c r="J105" s="619">
        <f t="shared" si="30"/>
        <v>0</v>
      </c>
      <c r="K105" s="619">
        <f t="shared" si="30"/>
        <v>0</v>
      </c>
      <c r="L105" s="619">
        <f>SUM(D105:INDEX(D105:K105,0,MATCH('RFPR cover'!$C$7,$D$6:$K$6,0)))</f>
        <v>0</v>
      </c>
      <c r="M105" s="620">
        <f t="shared" si="31"/>
        <v>0</v>
      </c>
      <c r="N105" s="64"/>
      <c r="O105"/>
      <c r="P105"/>
      <c r="Q105"/>
      <c r="R105"/>
      <c r="S105"/>
      <c r="T105"/>
    </row>
    <row r="106" spans="1:20">
      <c r="A106" s="36"/>
      <c r="B106" s="808" t="s">
        <v>190</v>
      </c>
      <c r="C106" s="163" t="s">
        <v>128</v>
      </c>
      <c r="D106" s="104">
        <f>SUM(D100:D105)</f>
        <v>0</v>
      </c>
      <c r="E106" s="105">
        <f t="shared" ref="E106:K106" si="32">SUM(E100:E105)</f>
        <v>15.177675205788777</v>
      </c>
      <c r="F106" s="105">
        <f t="shared" si="32"/>
        <v>-24.469472415728312</v>
      </c>
      <c r="G106" s="105">
        <f t="shared" si="32"/>
        <v>3.2029452116272927</v>
      </c>
      <c r="H106" s="105">
        <f t="shared" si="32"/>
        <v>3.840142051458157</v>
      </c>
      <c r="I106" s="105">
        <f t="shared" si="32"/>
        <v>6.4210590591286376</v>
      </c>
      <c r="J106" s="105">
        <f t="shared" si="32"/>
        <v>7.3173761873607628</v>
      </c>
      <c r="K106" s="106">
        <f t="shared" si="32"/>
        <v>2.8633430240629805</v>
      </c>
      <c r="L106" s="104">
        <f>SUM(D106:INDEX(D106:K106,0,MATCH('RFPR cover'!$C$7,$D$6:$K$6,0)))</f>
        <v>-6.0888519983122418</v>
      </c>
      <c r="M106" s="106">
        <f t="shared" si="31"/>
        <v>14.353068323698295</v>
      </c>
      <c r="N106" s="64"/>
    </row>
    <row r="107" spans="1:20">
      <c r="A107" s="36"/>
      <c r="B107" s="800"/>
    </row>
    <row r="108" spans="1:20">
      <c r="A108" s="36"/>
      <c r="B108" s="807" t="s">
        <v>198</v>
      </c>
      <c r="C108" s="163" t="s">
        <v>128</v>
      </c>
      <c r="D108" s="97">
        <f t="shared" ref="D108:K108" si="33">D106*D94</f>
        <v>0</v>
      </c>
      <c r="E108" s="98">
        <f t="shared" si="33"/>
        <v>4.5533025617366336</v>
      </c>
      <c r="F108" s="98">
        <f t="shared" si="33"/>
        <v>-7.3408417247184943</v>
      </c>
      <c r="G108" s="98">
        <f t="shared" si="33"/>
        <v>0.96088356348818793</v>
      </c>
      <c r="H108" s="98">
        <f t="shared" si="33"/>
        <v>1.1520426154374472</v>
      </c>
      <c r="I108" s="98">
        <f t="shared" si="33"/>
        <v>1.9263177177385915</v>
      </c>
      <c r="J108" s="98">
        <f t="shared" si="33"/>
        <v>2.1952128562082294</v>
      </c>
      <c r="K108" s="98">
        <f t="shared" si="33"/>
        <v>0.85900290721889427</v>
      </c>
      <c r="L108" s="97">
        <f>SUM(D108:INDEX(D108:K108,0,MATCH('RFPR cover'!$C$7,$D$6:$K$6,0)))</f>
        <v>-1.8266555994936726</v>
      </c>
      <c r="M108" s="99">
        <f>SUM(D108:K108)</f>
        <v>4.30592049710949</v>
      </c>
    </row>
    <row r="109" spans="1:20">
      <c r="A109" s="36"/>
      <c r="B109" s="807" t="s">
        <v>309</v>
      </c>
      <c r="C109" s="163" t="s">
        <v>128</v>
      </c>
      <c r="D109" s="94">
        <f t="shared" ref="D109:K109" si="34">D106*(1-D94)</f>
        <v>0</v>
      </c>
      <c r="E109" s="95">
        <f t="shared" si="34"/>
        <v>10.624372644052142</v>
      </c>
      <c r="F109" s="95">
        <f t="shared" si="34"/>
        <v>-17.128630691009818</v>
      </c>
      <c r="G109" s="95">
        <f t="shared" si="34"/>
        <v>2.2420616481391047</v>
      </c>
      <c r="H109" s="95">
        <f t="shared" si="34"/>
        <v>2.6880994360207096</v>
      </c>
      <c r="I109" s="95">
        <f t="shared" si="34"/>
        <v>4.4947413413900463</v>
      </c>
      <c r="J109" s="95">
        <f t="shared" si="34"/>
        <v>5.1221633311525334</v>
      </c>
      <c r="K109" s="95">
        <f t="shared" si="34"/>
        <v>2.0043401168440864</v>
      </c>
      <c r="L109" s="94">
        <f>SUM(D109:INDEX(D109:K109,0,MATCH('RFPR cover'!$C$7,$D$6:$K$6,0)))</f>
        <v>-4.2621963988185705</v>
      </c>
      <c r="M109" s="96">
        <f>SUM(D109:K109)</f>
        <v>10.047147826588805</v>
      </c>
    </row>
    <row r="110" spans="1:20">
      <c r="A110" s="36"/>
      <c r="B110" s="800"/>
    </row>
    <row r="111" spans="1:20">
      <c r="A111" s="36"/>
      <c r="B111" s="808" t="s">
        <v>181</v>
      </c>
    </row>
    <row r="112" spans="1:20">
      <c r="A112" s="36"/>
      <c r="B112" s="800" t="s">
        <v>180</v>
      </c>
      <c r="C112" s="163" t="s">
        <v>128</v>
      </c>
      <c r="D112" s="97">
        <f>D96+D108</f>
        <v>1.3523100223781059</v>
      </c>
      <c r="E112" s="98">
        <f t="shared" ref="E112:K112" si="35">E96+E108</f>
        <v>-3.5812686009150356</v>
      </c>
      <c r="F112" s="98">
        <f t="shared" si="35"/>
        <v>-6.4177830540554526</v>
      </c>
      <c r="G112" s="98">
        <f t="shared" si="35"/>
        <v>8.8266273871548719</v>
      </c>
      <c r="H112" s="98">
        <f t="shared" si="35"/>
        <v>1.2675264592571533</v>
      </c>
      <c r="I112" s="98">
        <f t="shared" si="35"/>
        <v>3.3234821001881576</v>
      </c>
      <c r="J112" s="98">
        <f t="shared" si="35"/>
        <v>5.1789077011921005</v>
      </c>
      <c r="K112" s="98">
        <f t="shared" si="35"/>
        <v>6.8209916853740831</v>
      </c>
      <c r="L112" s="97">
        <f>SUM(D112:INDEX(D112:K112,0,MATCH('RFPR cover'!$C$7,$D$6:$K$6,0)))</f>
        <v>0.17988575456248945</v>
      </c>
      <c r="M112" s="99">
        <f>SUM(D112:K112)</f>
        <v>16.770793700573982</v>
      </c>
    </row>
    <row r="113" spans="1:20">
      <c r="A113" s="36"/>
      <c r="B113" s="800" t="s">
        <v>280</v>
      </c>
      <c r="C113" s="163" t="s">
        <v>128</v>
      </c>
      <c r="D113" s="546">
        <f>D97+D109</f>
        <v>3.15539005221558</v>
      </c>
      <c r="E113" s="547">
        <f t="shared" ref="E113:K113" si="36">E97+E109</f>
        <v>-8.3562934021350816</v>
      </c>
      <c r="F113" s="547">
        <f t="shared" si="36"/>
        <v>-14.974827126129387</v>
      </c>
      <c r="G113" s="547">
        <f t="shared" si="36"/>
        <v>20.595463903361363</v>
      </c>
      <c r="H113" s="547">
        <f t="shared" si="36"/>
        <v>2.9575617382666906</v>
      </c>
      <c r="I113" s="547">
        <f t="shared" si="36"/>
        <v>7.7547915671057002</v>
      </c>
      <c r="J113" s="547">
        <f t="shared" si="36"/>
        <v>12.084117969448229</v>
      </c>
      <c r="K113" s="547">
        <f t="shared" si="36"/>
        <v>15.91564726587286</v>
      </c>
      <c r="L113" s="546">
        <f>SUM(D113:INDEX(D113:K113,0,MATCH('RFPR cover'!$C$7,$D$6:$K$6,0)))</f>
        <v>0.41973342731247243</v>
      </c>
      <c r="M113" s="548">
        <f>SUM(D113:K113)</f>
        <v>39.131851968005947</v>
      </c>
    </row>
    <row r="114" spans="1:20">
      <c r="A114" s="36"/>
      <c r="B114" s="808" t="s">
        <v>11</v>
      </c>
      <c r="C114" s="164" t="s">
        <v>128</v>
      </c>
      <c r="D114" s="153">
        <f>SUM(D112:D113)</f>
        <v>4.5077000745936857</v>
      </c>
      <c r="E114" s="154">
        <f t="shared" ref="E114:K114" si="37">SUM(E112:E113)</f>
        <v>-11.937562003050118</v>
      </c>
      <c r="F114" s="154">
        <f t="shared" si="37"/>
        <v>-21.392610180184839</v>
      </c>
      <c r="G114" s="154">
        <f t="shared" si="37"/>
        <v>29.422091290516235</v>
      </c>
      <c r="H114" s="154">
        <f t="shared" si="37"/>
        <v>4.2250881975238439</v>
      </c>
      <c r="I114" s="154">
        <f t="shared" si="37"/>
        <v>11.078273667293857</v>
      </c>
      <c r="J114" s="154">
        <f t="shared" si="37"/>
        <v>17.263025670640332</v>
      </c>
      <c r="K114" s="154">
        <f t="shared" si="37"/>
        <v>22.736638951246942</v>
      </c>
      <c r="L114" s="153">
        <f>SUM(D114:INDEX(D114:K114,0,MATCH('RFPR cover'!$C$7,$D$6:$K$6,0)))</f>
        <v>0.59961918187496366</v>
      </c>
      <c r="M114" s="155">
        <f>SUM(D114:K114)</f>
        <v>55.902645668579936</v>
      </c>
    </row>
    <row r="115" spans="1:20">
      <c r="A115" s="36"/>
      <c r="B115" s="800"/>
    </row>
    <row r="116" spans="1:20">
      <c r="A116" s="36"/>
      <c r="B116" s="803" t="str">
        <f>B38</f>
        <v>n/a</v>
      </c>
      <c r="C116" s="158"/>
      <c r="D116" s="83"/>
      <c r="E116" s="83"/>
      <c r="F116" s="83"/>
      <c r="G116" s="83"/>
      <c r="H116" s="83"/>
      <c r="I116" s="83"/>
      <c r="J116" s="83"/>
      <c r="K116" s="83"/>
      <c r="L116" s="83"/>
      <c r="M116" s="83"/>
      <c r="N116" s="83"/>
    </row>
    <row r="117" spans="1:20" s="36" customFormat="1">
      <c r="B117" s="801"/>
      <c r="C117" s="146"/>
      <c r="D117" s="339"/>
      <c r="E117" s="339"/>
      <c r="F117" s="339"/>
      <c r="G117" s="339"/>
      <c r="H117" s="339"/>
      <c r="I117" s="339"/>
      <c r="J117" s="339"/>
      <c r="K117" s="339"/>
      <c r="L117" s="339"/>
      <c r="M117" s="339"/>
      <c r="N117" s="339"/>
    </row>
    <row r="118" spans="1:20">
      <c r="A118" s="36"/>
      <c r="B118" s="324" t="s">
        <v>34</v>
      </c>
      <c r="C118" s="163" t="s">
        <v>128</v>
      </c>
      <c r="D118" s="698">
        <f t="shared" ref="D118:K119" si="38">D40*D$86</f>
        <v>0</v>
      </c>
      <c r="E118" s="698">
        <f t="shared" si="38"/>
        <v>0</v>
      </c>
      <c r="F118" s="698">
        <f t="shared" si="38"/>
        <v>0</v>
      </c>
      <c r="G118" s="698">
        <f t="shared" si="38"/>
        <v>0</v>
      </c>
      <c r="H118" s="698">
        <f t="shared" si="38"/>
        <v>0</v>
      </c>
      <c r="I118" s="698">
        <f t="shared" si="38"/>
        <v>0</v>
      </c>
      <c r="J118" s="698">
        <f t="shared" si="38"/>
        <v>0</v>
      </c>
      <c r="K118" s="698">
        <f t="shared" si="38"/>
        <v>0</v>
      </c>
      <c r="L118" s="698">
        <f>SUM(D118:INDEX(D118:K118,0,MATCH('RFPR cover'!$C$7,$D$6:$K$6,0)))</f>
        <v>0</v>
      </c>
      <c r="M118" s="699">
        <f>SUM(D118:K118)</f>
        <v>0</v>
      </c>
      <c r="N118" s="64"/>
      <c r="O118" s="64"/>
    </row>
    <row r="119" spans="1:20" ht="25.5">
      <c r="A119" s="36"/>
      <c r="B119" s="805" t="s">
        <v>197</v>
      </c>
      <c r="C119" s="163" t="s">
        <v>128</v>
      </c>
      <c r="D119" s="698">
        <f t="shared" si="38"/>
        <v>0</v>
      </c>
      <c r="E119" s="698">
        <f t="shared" si="38"/>
        <v>0</v>
      </c>
      <c r="F119" s="698">
        <f t="shared" si="38"/>
        <v>0</v>
      </c>
      <c r="G119" s="698">
        <f t="shared" si="38"/>
        <v>0</v>
      </c>
      <c r="H119" s="698">
        <f t="shared" si="38"/>
        <v>0</v>
      </c>
      <c r="I119" s="698">
        <f t="shared" si="38"/>
        <v>0</v>
      </c>
      <c r="J119" s="698">
        <f t="shared" si="38"/>
        <v>0</v>
      </c>
      <c r="K119" s="698">
        <f t="shared" si="38"/>
        <v>0</v>
      </c>
      <c r="L119" s="700">
        <f>SUM(D119:INDEX(D119:K119,0,MATCH('RFPR cover'!$C$7,$D$6:$K$6,0)))</f>
        <v>0</v>
      </c>
      <c r="M119" s="701">
        <f>SUM(D119:K119)</f>
        <v>0</v>
      </c>
      <c r="N119" s="64"/>
      <c r="O119" s="64"/>
    </row>
    <row r="120" spans="1:20">
      <c r="A120" s="36"/>
      <c r="B120" s="806" t="s">
        <v>195</v>
      </c>
      <c r="C120" s="163" t="s">
        <v>128</v>
      </c>
      <c r="D120" s="104">
        <f>D119-D118</f>
        <v>0</v>
      </c>
      <c r="E120" s="105">
        <f t="shared" ref="E120:M120" si="39">E119-E118</f>
        <v>0</v>
      </c>
      <c r="F120" s="105">
        <f t="shared" si="39"/>
        <v>0</v>
      </c>
      <c r="G120" s="105">
        <f t="shared" si="39"/>
        <v>0</v>
      </c>
      <c r="H120" s="105">
        <f t="shared" si="39"/>
        <v>0</v>
      </c>
      <c r="I120" s="105">
        <f t="shared" si="39"/>
        <v>0</v>
      </c>
      <c r="J120" s="105">
        <f t="shared" si="39"/>
        <v>0</v>
      </c>
      <c r="K120" s="105">
        <f t="shared" si="39"/>
        <v>0</v>
      </c>
      <c r="L120" s="104">
        <f t="shared" si="39"/>
        <v>0</v>
      </c>
      <c r="M120" s="106">
        <f t="shared" si="39"/>
        <v>0</v>
      </c>
      <c r="N120" s="64"/>
      <c r="O120" s="989"/>
      <c r="P120" s="989"/>
      <c r="Q120" s="989"/>
      <c r="R120"/>
      <c r="S120"/>
      <c r="T120"/>
    </row>
    <row r="121" spans="1:20">
      <c r="A121" s="36"/>
      <c r="B121" s="806"/>
      <c r="C121" s="163"/>
      <c r="D121" s="60"/>
      <c r="E121" s="60"/>
      <c r="F121" s="60"/>
      <c r="G121" s="60"/>
      <c r="H121" s="60"/>
      <c r="I121" s="60"/>
      <c r="J121" s="60"/>
      <c r="K121" s="60"/>
      <c r="L121" s="60"/>
      <c r="M121" s="60"/>
      <c r="O121" s="65"/>
      <c r="P121" s="65"/>
      <c r="Q121" s="65"/>
      <c r="R121"/>
      <c r="S121"/>
      <c r="T121"/>
    </row>
    <row r="122" spans="1:20">
      <c r="A122" s="36"/>
      <c r="B122" s="800" t="s">
        <v>178</v>
      </c>
      <c r="C122" s="144" t="s">
        <v>7</v>
      </c>
      <c r="D122" s="111">
        <f>1-INDEX(Data!$D$73:$D$100,MATCH('RFPR cover'!$C$5,Data!$B$73:$B$100,0),0)</f>
        <v>0.30000000000000004</v>
      </c>
      <c r="E122" s="112">
        <f>1-INDEX(Data!$D$73:$D$100,MATCH('RFPR cover'!$C$5,Data!$B$73:$B$100,0),0)</f>
        <v>0.30000000000000004</v>
      </c>
      <c r="F122" s="112">
        <f>1-INDEX(Data!$D$73:$D$100,MATCH('RFPR cover'!$C$5,Data!$B$73:$B$100,0),0)</f>
        <v>0.30000000000000004</v>
      </c>
      <c r="G122" s="112">
        <f>1-INDEX(Data!$D$73:$D$100,MATCH('RFPR cover'!$C$5,Data!$B$73:$B$100,0),0)</f>
        <v>0.30000000000000004</v>
      </c>
      <c r="H122" s="112">
        <f>1-INDEX(Data!$D$73:$D$100,MATCH('RFPR cover'!$C$5,Data!$B$73:$B$100,0),0)</f>
        <v>0.30000000000000004</v>
      </c>
      <c r="I122" s="112">
        <f>1-INDEX(Data!$D$73:$D$100,MATCH('RFPR cover'!$C$5,Data!$B$73:$B$100,0),0)</f>
        <v>0.30000000000000004</v>
      </c>
      <c r="J122" s="112">
        <f>1-INDEX(Data!$D$73:$D$100,MATCH('RFPR cover'!$C$5,Data!$B$73:$B$100,0),0)</f>
        <v>0.30000000000000004</v>
      </c>
      <c r="K122" s="113">
        <f>1-INDEX(Data!$D$73:$D$100,MATCH('RFPR cover'!$C$5,Data!$B$73:$B$100,0),0)</f>
        <v>0.30000000000000004</v>
      </c>
      <c r="L122" s="63"/>
      <c r="M122" s="63"/>
      <c r="O122"/>
      <c r="P122"/>
      <c r="Q122"/>
      <c r="R122"/>
      <c r="S122"/>
      <c r="T122"/>
    </row>
    <row r="123" spans="1:20">
      <c r="A123" s="36"/>
      <c r="B123" s="800"/>
      <c r="O123"/>
      <c r="P123"/>
      <c r="Q123"/>
      <c r="R123"/>
      <c r="S123"/>
      <c r="T123"/>
    </row>
    <row r="124" spans="1:20">
      <c r="A124" s="36"/>
      <c r="B124" s="807" t="s">
        <v>183</v>
      </c>
      <c r="C124" s="167" t="s">
        <v>128</v>
      </c>
      <c r="D124" s="97">
        <f>D120*D122</f>
        <v>0</v>
      </c>
      <c r="E124" s="98">
        <f t="shared" ref="E124:K124" si="40">E120*E122</f>
        <v>0</v>
      </c>
      <c r="F124" s="98">
        <f t="shared" si="40"/>
        <v>0</v>
      </c>
      <c r="G124" s="98">
        <f t="shared" si="40"/>
        <v>0</v>
      </c>
      <c r="H124" s="98">
        <f t="shared" si="40"/>
        <v>0</v>
      </c>
      <c r="I124" s="98">
        <f t="shared" si="40"/>
        <v>0</v>
      </c>
      <c r="J124" s="98">
        <f t="shared" si="40"/>
        <v>0</v>
      </c>
      <c r="K124" s="98">
        <f t="shared" si="40"/>
        <v>0</v>
      </c>
      <c r="L124" s="97">
        <f>SUM(D124:INDEX(D124:K124,0,MATCH('RFPR cover'!$C$7,$D$6:$K$6,0)))</f>
        <v>0</v>
      </c>
      <c r="M124" s="99">
        <f>SUM(D124:K124)</f>
        <v>0</v>
      </c>
      <c r="O124"/>
      <c r="P124"/>
      <c r="Q124"/>
      <c r="R124"/>
      <c r="S124"/>
      <c r="T124"/>
    </row>
    <row r="125" spans="1:20">
      <c r="A125" s="36"/>
      <c r="B125" s="807" t="s">
        <v>179</v>
      </c>
      <c r="C125" s="167" t="s">
        <v>128</v>
      </c>
      <c r="D125" s="94">
        <f>D120*(1-D122)</f>
        <v>0</v>
      </c>
      <c r="E125" s="95">
        <f t="shared" ref="E125:K125" si="41">E120*(1-E122)</f>
        <v>0</v>
      </c>
      <c r="F125" s="95">
        <f t="shared" si="41"/>
        <v>0</v>
      </c>
      <c r="G125" s="95">
        <f t="shared" si="41"/>
        <v>0</v>
      </c>
      <c r="H125" s="95">
        <f t="shared" si="41"/>
        <v>0</v>
      </c>
      <c r="I125" s="95">
        <f t="shared" si="41"/>
        <v>0</v>
      </c>
      <c r="J125" s="95">
        <f t="shared" si="41"/>
        <v>0</v>
      </c>
      <c r="K125" s="95">
        <f t="shared" si="41"/>
        <v>0</v>
      </c>
      <c r="L125" s="94">
        <f>SUM(D125:INDEX(D125:K125,0,MATCH('RFPR cover'!$C$7,$D$6:$K$6,0)))</f>
        <v>0</v>
      </c>
      <c r="M125" s="96">
        <f>SUM(D125:K125)</f>
        <v>0</v>
      </c>
      <c r="O125"/>
      <c r="P125"/>
      <c r="Q125"/>
      <c r="R125"/>
      <c r="S125"/>
      <c r="T125"/>
    </row>
    <row r="126" spans="1:20">
      <c r="A126" s="36"/>
      <c r="B126" s="800"/>
      <c r="O126"/>
      <c r="P126"/>
      <c r="Q126"/>
      <c r="R126"/>
      <c r="S126"/>
      <c r="T126"/>
    </row>
    <row r="127" spans="1:20">
      <c r="A127" s="36"/>
      <c r="B127" s="808" t="s">
        <v>182</v>
      </c>
      <c r="N127" s="64"/>
      <c r="O127"/>
      <c r="P127"/>
      <c r="Q127"/>
      <c r="R127"/>
      <c r="S127"/>
      <c r="T127"/>
    </row>
    <row r="128" spans="1:20">
      <c r="A128" s="283" t="s">
        <v>151</v>
      </c>
      <c r="B128" s="235" t="str">
        <f t="shared" ref="B128:B133" si="42">B50</f>
        <v>[Enduring Value adjustment]</v>
      </c>
      <c r="C128" s="163" t="s">
        <v>128</v>
      </c>
      <c r="D128" s="611">
        <f t="shared" ref="D128:K133" si="43">D50*D$86</f>
        <v>0</v>
      </c>
      <c r="E128" s="611">
        <f t="shared" si="43"/>
        <v>0</v>
      </c>
      <c r="F128" s="611">
        <f t="shared" si="43"/>
        <v>0</v>
      </c>
      <c r="G128" s="611">
        <f t="shared" si="43"/>
        <v>0</v>
      </c>
      <c r="H128" s="611">
        <f t="shared" si="43"/>
        <v>0</v>
      </c>
      <c r="I128" s="611">
        <f t="shared" si="43"/>
        <v>0</v>
      </c>
      <c r="J128" s="611">
        <f t="shared" si="43"/>
        <v>0</v>
      </c>
      <c r="K128" s="611">
        <f t="shared" si="43"/>
        <v>0</v>
      </c>
      <c r="L128" s="611">
        <f>SUM(D128:INDEX(D128:K128,0,MATCH('RFPR cover'!$C$7,$D$6:$K$6,0)))</f>
        <v>0</v>
      </c>
      <c r="M128" s="612">
        <f t="shared" ref="M128:M134" si="44">SUM(D128:K128)</f>
        <v>0</v>
      </c>
      <c r="N128" s="64"/>
      <c r="O128"/>
      <c r="P128"/>
      <c r="Q128"/>
      <c r="R128"/>
      <c r="S128"/>
      <c r="T128"/>
    </row>
    <row r="129" spans="1:20">
      <c r="A129" s="283" t="s">
        <v>152</v>
      </c>
      <c r="B129" s="235" t="str">
        <f t="shared" si="42"/>
        <v>[Enduring Value adjustment]</v>
      </c>
      <c r="C129" s="163" t="s">
        <v>128</v>
      </c>
      <c r="D129" s="611">
        <f t="shared" si="43"/>
        <v>0</v>
      </c>
      <c r="E129" s="611">
        <f t="shared" si="43"/>
        <v>0</v>
      </c>
      <c r="F129" s="611">
        <f t="shared" si="43"/>
        <v>0</v>
      </c>
      <c r="G129" s="611">
        <f t="shared" si="43"/>
        <v>0</v>
      </c>
      <c r="H129" s="611">
        <f t="shared" si="43"/>
        <v>0</v>
      </c>
      <c r="I129" s="611">
        <f t="shared" si="43"/>
        <v>0</v>
      </c>
      <c r="J129" s="611">
        <f t="shared" si="43"/>
        <v>0</v>
      </c>
      <c r="K129" s="611">
        <f t="shared" si="43"/>
        <v>0</v>
      </c>
      <c r="L129" s="615">
        <f>SUM(D129:INDEX(D129:K129,0,MATCH('RFPR cover'!$C$7,$D$6:$K$6,0)))</f>
        <v>0</v>
      </c>
      <c r="M129" s="616">
        <f t="shared" si="44"/>
        <v>0</v>
      </c>
      <c r="N129" s="64"/>
      <c r="O129"/>
      <c r="P129"/>
      <c r="Q129"/>
      <c r="R129"/>
      <c r="S129"/>
      <c r="T129"/>
    </row>
    <row r="130" spans="1:20">
      <c r="A130" s="283" t="s">
        <v>153</v>
      </c>
      <c r="B130" s="235" t="str">
        <f t="shared" si="42"/>
        <v>[Enduring Value adjustment]</v>
      </c>
      <c r="C130" s="163" t="s">
        <v>128</v>
      </c>
      <c r="D130" s="611">
        <f t="shared" si="43"/>
        <v>0</v>
      </c>
      <c r="E130" s="611">
        <f t="shared" si="43"/>
        <v>0</v>
      </c>
      <c r="F130" s="611">
        <f t="shared" si="43"/>
        <v>0</v>
      </c>
      <c r="G130" s="611">
        <f t="shared" si="43"/>
        <v>0</v>
      </c>
      <c r="H130" s="611">
        <f t="shared" si="43"/>
        <v>0</v>
      </c>
      <c r="I130" s="611">
        <f t="shared" si="43"/>
        <v>0</v>
      </c>
      <c r="J130" s="611">
        <f t="shared" si="43"/>
        <v>0</v>
      </c>
      <c r="K130" s="611">
        <f t="shared" si="43"/>
        <v>0</v>
      </c>
      <c r="L130" s="615">
        <f>SUM(D130:INDEX(D130:K130,0,MATCH('RFPR cover'!$C$7,$D$6:$K$6,0)))</f>
        <v>0</v>
      </c>
      <c r="M130" s="616">
        <f t="shared" si="44"/>
        <v>0</v>
      </c>
      <c r="N130" s="64"/>
      <c r="O130"/>
      <c r="P130"/>
      <c r="Q130"/>
      <c r="R130"/>
      <c r="S130" s="66"/>
      <c r="T130"/>
    </row>
    <row r="131" spans="1:20">
      <c r="A131" s="283" t="s">
        <v>168</v>
      </c>
      <c r="B131" s="235" t="str">
        <f t="shared" si="42"/>
        <v>[Enduring Value adjustment]</v>
      </c>
      <c r="C131" s="163" t="s">
        <v>128</v>
      </c>
      <c r="D131" s="611">
        <f t="shared" si="43"/>
        <v>0</v>
      </c>
      <c r="E131" s="611">
        <f t="shared" si="43"/>
        <v>0</v>
      </c>
      <c r="F131" s="611">
        <f t="shared" si="43"/>
        <v>0</v>
      </c>
      <c r="G131" s="611">
        <f t="shared" si="43"/>
        <v>0</v>
      </c>
      <c r="H131" s="611">
        <f t="shared" si="43"/>
        <v>0</v>
      </c>
      <c r="I131" s="611">
        <f t="shared" si="43"/>
        <v>0</v>
      </c>
      <c r="J131" s="611">
        <f t="shared" si="43"/>
        <v>0</v>
      </c>
      <c r="K131" s="611">
        <f t="shared" si="43"/>
        <v>0</v>
      </c>
      <c r="L131" s="615">
        <f>SUM(D131:INDEX(D131:K131,0,MATCH('RFPR cover'!$C$7,$D$6:$K$6,0)))</f>
        <v>0</v>
      </c>
      <c r="M131" s="616">
        <f t="shared" si="44"/>
        <v>0</v>
      </c>
      <c r="N131" s="64"/>
      <c r="O131"/>
      <c r="P131"/>
      <c r="Q131"/>
      <c r="R131"/>
      <c r="S131"/>
      <c r="T131"/>
    </row>
    <row r="132" spans="1:20">
      <c r="A132" s="283" t="s">
        <v>169</v>
      </c>
      <c r="B132" s="235" t="str">
        <f t="shared" si="42"/>
        <v>[Enduring Value adjustment]</v>
      </c>
      <c r="C132" s="163" t="s">
        <v>128</v>
      </c>
      <c r="D132" s="611">
        <f t="shared" si="43"/>
        <v>0</v>
      </c>
      <c r="E132" s="611">
        <f t="shared" si="43"/>
        <v>0</v>
      </c>
      <c r="F132" s="611">
        <f t="shared" si="43"/>
        <v>0</v>
      </c>
      <c r="G132" s="611">
        <f t="shared" si="43"/>
        <v>0</v>
      </c>
      <c r="H132" s="611">
        <f t="shared" si="43"/>
        <v>0</v>
      </c>
      <c r="I132" s="611">
        <f t="shared" si="43"/>
        <v>0</v>
      </c>
      <c r="J132" s="611">
        <f t="shared" si="43"/>
        <v>0</v>
      </c>
      <c r="K132" s="611">
        <f t="shared" si="43"/>
        <v>0</v>
      </c>
      <c r="L132" s="615">
        <f>SUM(D132:INDEX(D132:K132,0,MATCH('RFPR cover'!$C$7,$D$6:$K$6,0)))</f>
        <v>0</v>
      </c>
      <c r="M132" s="616">
        <f t="shared" si="44"/>
        <v>0</v>
      </c>
      <c r="N132" s="64"/>
      <c r="O132"/>
      <c r="P132"/>
      <c r="Q132"/>
      <c r="R132"/>
      <c r="S132"/>
      <c r="T132"/>
    </row>
    <row r="133" spans="1:20">
      <c r="A133" s="283" t="s">
        <v>170</v>
      </c>
      <c r="B133" s="235" t="str">
        <f t="shared" si="42"/>
        <v>[Enduring Value adjustment]</v>
      </c>
      <c r="C133" s="163" t="s">
        <v>128</v>
      </c>
      <c r="D133" s="611">
        <f t="shared" si="43"/>
        <v>0</v>
      </c>
      <c r="E133" s="611">
        <f t="shared" si="43"/>
        <v>0</v>
      </c>
      <c r="F133" s="611">
        <f t="shared" si="43"/>
        <v>0</v>
      </c>
      <c r="G133" s="611">
        <f t="shared" si="43"/>
        <v>0</v>
      </c>
      <c r="H133" s="611">
        <f t="shared" si="43"/>
        <v>0</v>
      </c>
      <c r="I133" s="611">
        <f t="shared" si="43"/>
        <v>0</v>
      </c>
      <c r="J133" s="611">
        <f t="shared" si="43"/>
        <v>0</v>
      </c>
      <c r="K133" s="611">
        <f t="shared" si="43"/>
        <v>0</v>
      </c>
      <c r="L133" s="619">
        <f>SUM(D133:INDEX(D133:K133,0,MATCH('RFPR cover'!$C$7,$D$6:$K$6,0)))</f>
        <v>0</v>
      </c>
      <c r="M133" s="620">
        <f t="shared" si="44"/>
        <v>0</v>
      </c>
      <c r="N133" s="64"/>
      <c r="O133"/>
      <c r="P133"/>
      <c r="Q133"/>
      <c r="R133"/>
      <c r="S133"/>
      <c r="T133"/>
    </row>
    <row r="134" spans="1:20">
      <c r="A134" s="36"/>
      <c r="B134" s="808" t="s">
        <v>190</v>
      </c>
      <c r="C134" s="163" t="s">
        <v>128</v>
      </c>
      <c r="D134" s="104">
        <f>SUM(D128:D133)</f>
        <v>0</v>
      </c>
      <c r="E134" s="105">
        <f t="shared" ref="E134:K134" si="45">SUM(E128:E133)</f>
        <v>0</v>
      </c>
      <c r="F134" s="105">
        <f t="shared" si="45"/>
        <v>0</v>
      </c>
      <c r="G134" s="105">
        <f t="shared" si="45"/>
        <v>0</v>
      </c>
      <c r="H134" s="105">
        <f t="shared" si="45"/>
        <v>0</v>
      </c>
      <c r="I134" s="105">
        <f t="shared" si="45"/>
        <v>0</v>
      </c>
      <c r="J134" s="105">
        <f t="shared" si="45"/>
        <v>0</v>
      </c>
      <c r="K134" s="105">
        <f t="shared" si="45"/>
        <v>0</v>
      </c>
      <c r="L134" s="104">
        <f>SUM(D134:INDEX(D134:K134,0,MATCH('RFPR cover'!$C$7,$D$6:$K$6,0)))</f>
        <v>0</v>
      </c>
      <c r="M134" s="106">
        <f t="shared" si="44"/>
        <v>0</v>
      </c>
      <c r="N134" s="64"/>
    </row>
    <row r="135" spans="1:20">
      <c r="A135" s="36"/>
      <c r="B135" s="800"/>
    </row>
    <row r="136" spans="1:20">
      <c r="A136" s="36"/>
      <c r="B136" s="807" t="s">
        <v>198</v>
      </c>
      <c r="C136" s="167" t="s">
        <v>128</v>
      </c>
      <c r="D136" s="97">
        <f t="shared" ref="D136:K136" si="46">D134*D122</f>
        <v>0</v>
      </c>
      <c r="E136" s="98">
        <f t="shared" si="46"/>
        <v>0</v>
      </c>
      <c r="F136" s="98">
        <f t="shared" si="46"/>
        <v>0</v>
      </c>
      <c r="G136" s="98">
        <f t="shared" si="46"/>
        <v>0</v>
      </c>
      <c r="H136" s="98">
        <f t="shared" si="46"/>
        <v>0</v>
      </c>
      <c r="I136" s="98">
        <f t="shared" si="46"/>
        <v>0</v>
      </c>
      <c r="J136" s="98">
        <f t="shared" si="46"/>
        <v>0</v>
      </c>
      <c r="K136" s="98">
        <f t="shared" si="46"/>
        <v>0</v>
      </c>
      <c r="L136" s="97">
        <f>SUM(D136:INDEX(D136:K136,0,MATCH('RFPR cover'!$C$7,$D$6:$K$6,0)))</f>
        <v>0</v>
      </c>
      <c r="M136" s="99">
        <f>SUM(D136:K136)</f>
        <v>0</v>
      </c>
    </row>
    <row r="137" spans="1:20">
      <c r="A137" s="36"/>
      <c r="B137" s="807" t="s">
        <v>309</v>
      </c>
      <c r="C137" s="167" t="s">
        <v>128</v>
      </c>
      <c r="D137" s="94">
        <f t="shared" ref="D137:K137" si="47">D134*(1-D122)</f>
        <v>0</v>
      </c>
      <c r="E137" s="95">
        <f t="shared" si="47"/>
        <v>0</v>
      </c>
      <c r="F137" s="95">
        <f t="shared" si="47"/>
        <v>0</v>
      </c>
      <c r="G137" s="95">
        <f t="shared" si="47"/>
        <v>0</v>
      </c>
      <c r="H137" s="95">
        <f t="shared" si="47"/>
        <v>0</v>
      </c>
      <c r="I137" s="95">
        <f t="shared" si="47"/>
        <v>0</v>
      </c>
      <c r="J137" s="95">
        <f t="shared" si="47"/>
        <v>0</v>
      </c>
      <c r="K137" s="95">
        <f t="shared" si="47"/>
        <v>0</v>
      </c>
      <c r="L137" s="94">
        <f>SUM(D137:INDEX(D137:K137,0,MATCH('RFPR cover'!$C$7,$D$6:$K$6,0)))</f>
        <v>0</v>
      </c>
      <c r="M137" s="96">
        <f>SUM(D137:K137)</f>
        <v>0</v>
      </c>
    </row>
    <row r="138" spans="1:20">
      <c r="A138" s="36"/>
      <c r="B138" s="800"/>
    </row>
    <row r="139" spans="1:20">
      <c r="A139" s="36"/>
      <c r="B139" s="808" t="s">
        <v>181</v>
      </c>
    </row>
    <row r="140" spans="1:20">
      <c r="A140" s="36"/>
      <c r="B140" s="800" t="s">
        <v>180</v>
      </c>
      <c r="C140" s="163" t="s">
        <v>128</v>
      </c>
      <c r="D140" s="97">
        <f>D124+D136</f>
        <v>0</v>
      </c>
      <c r="E140" s="98">
        <f t="shared" ref="E140:K140" si="48">E124+E136</f>
        <v>0</v>
      </c>
      <c r="F140" s="98">
        <f t="shared" si="48"/>
        <v>0</v>
      </c>
      <c r="G140" s="98">
        <f t="shared" si="48"/>
        <v>0</v>
      </c>
      <c r="H140" s="98">
        <f t="shared" si="48"/>
        <v>0</v>
      </c>
      <c r="I140" s="98">
        <f t="shared" si="48"/>
        <v>0</v>
      </c>
      <c r="J140" s="98">
        <f t="shared" si="48"/>
        <v>0</v>
      </c>
      <c r="K140" s="98">
        <f t="shared" si="48"/>
        <v>0</v>
      </c>
      <c r="L140" s="97">
        <f>SUM(D140:INDEX(D140:K140,0,MATCH('RFPR cover'!$C$7,$D$6:$K$6,0)))</f>
        <v>0</v>
      </c>
      <c r="M140" s="99">
        <f>SUM(D140:K140)</f>
        <v>0</v>
      </c>
    </row>
    <row r="141" spans="1:20">
      <c r="A141" s="36"/>
      <c r="B141" s="800" t="s">
        <v>280</v>
      </c>
      <c r="C141" s="163" t="s">
        <v>128</v>
      </c>
      <c r="D141" s="100">
        <f>D125+D137</f>
        <v>0</v>
      </c>
      <c r="E141" s="101">
        <f t="shared" ref="E141:K141" si="49">E125+E137</f>
        <v>0</v>
      </c>
      <c r="F141" s="101">
        <f t="shared" si="49"/>
        <v>0</v>
      </c>
      <c r="G141" s="101">
        <f t="shared" si="49"/>
        <v>0</v>
      </c>
      <c r="H141" s="101">
        <f t="shared" si="49"/>
        <v>0</v>
      </c>
      <c r="I141" s="101">
        <f t="shared" si="49"/>
        <v>0</v>
      </c>
      <c r="J141" s="101">
        <f t="shared" si="49"/>
        <v>0</v>
      </c>
      <c r="K141" s="101">
        <f t="shared" si="49"/>
        <v>0</v>
      </c>
      <c r="L141" s="100">
        <f>SUM(D141:INDEX(D141:K141,0,MATCH('RFPR cover'!$C$7,$D$6:$K$6,0)))</f>
        <v>0</v>
      </c>
      <c r="M141" s="102">
        <f>SUM(D141:K141)</f>
        <v>0</v>
      </c>
    </row>
    <row r="142" spans="1:20">
      <c r="A142" s="36"/>
      <c r="B142" s="808" t="s">
        <v>11</v>
      </c>
      <c r="C142" s="164" t="s">
        <v>128</v>
      </c>
      <c r="D142" s="147">
        <f>SUM(D140:D141)</f>
        <v>0</v>
      </c>
      <c r="E142" s="148">
        <f t="shared" ref="E142:K142" si="50">SUM(E140:E141)</f>
        <v>0</v>
      </c>
      <c r="F142" s="148">
        <f t="shared" si="50"/>
        <v>0</v>
      </c>
      <c r="G142" s="148">
        <f t="shared" si="50"/>
        <v>0</v>
      </c>
      <c r="H142" s="148">
        <f t="shared" si="50"/>
        <v>0</v>
      </c>
      <c r="I142" s="148">
        <f t="shared" si="50"/>
        <v>0</v>
      </c>
      <c r="J142" s="148">
        <f t="shared" si="50"/>
        <v>0</v>
      </c>
      <c r="K142" s="148">
        <f t="shared" si="50"/>
        <v>0</v>
      </c>
      <c r="L142" s="147">
        <f>SUM(D142:INDEX(D142:K142,0,MATCH('RFPR cover'!$C$7,$D$6:$K$6,0)))</f>
        <v>0</v>
      </c>
      <c r="M142" s="149">
        <f>SUM(D142:K142)</f>
        <v>0</v>
      </c>
    </row>
    <row r="143" spans="1:20">
      <c r="A143" s="36"/>
      <c r="B143" s="808"/>
      <c r="C143" s="164"/>
      <c r="D143" s="164"/>
      <c r="E143" s="164"/>
      <c r="F143" s="164"/>
      <c r="G143" s="164"/>
      <c r="H143" s="164"/>
      <c r="I143" s="164"/>
      <c r="J143" s="164"/>
      <c r="K143" s="164"/>
      <c r="L143" s="164"/>
      <c r="M143" s="164"/>
    </row>
    <row r="144" spans="1:20">
      <c r="A144" s="36"/>
      <c r="B144" s="803" t="s">
        <v>257</v>
      </c>
      <c r="C144" s="158"/>
      <c r="D144" s="83"/>
      <c r="E144" s="83"/>
      <c r="F144" s="83"/>
      <c r="G144" s="83"/>
      <c r="H144" s="83"/>
      <c r="I144" s="83"/>
      <c r="J144" s="83"/>
      <c r="K144" s="83"/>
      <c r="L144" s="83"/>
      <c r="M144" s="83"/>
      <c r="N144" s="83"/>
    </row>
    <row r="145" spans="1:20">
      <c r="A145" s="36"/>
      <c r="B145" s="800"/>
      <c r="O145"/>
      <c r="P145"/>
      <c r="Q145"/>
      <c r="R145"/>
      <c r="S145"/>
      <c r="T145"/>
    </row>
    <row r="146" spans="1:20">
      <c r="A146" s="36"/>
      <c r="B146" s="808" t="s">
        <v>181</v>
      </c>
    </row>
    <row r="147" spans="1:20">
      <c r="A147" s="36"/>
      <c r="B147" s="800" t="s">
        <v>180</v>
      </c>
      <c r="C147" s="163" t="s">
        <v>128</v>
      </c>
      <c r="D147" s="97">
        <f>D112+D140</f>
        <v>1.3523100223781059</v>
      </c>
      <c r="E147" s="98">
        <f t="shared" ref="E147:K147" si="51">E112+E140</f>
        <v>-3.5812686009150356</v>
      </c>
      <c r="F147" s="98">
        <f t="shared" si="51"/>
        <v>-6.4177830540554526</v>
      </c>
      <c r="G147" s="98">
        <f t="shared" si="51"/>
        <v>8.8266273871548719</v>
      </c>
      <c r="H147" s="98">
        <f t="shared" si="51"/>
        <v>1.2675264592571533</v>
      </c>
      <c r="I147" s="98">
        <f t="shared" si="51"/>
        <v>3.3234821001881576</v>
      </c>
      <c r="J147" s="98">
        <f t="shared" si="51"/>
        <v>5.1789077011921005</v>
      </c>
      <c r="K147" s="98">
        <f t="shared" si="51"/>
        <v>6.8209916853740831</v>
      </c>
      <c r="L147" s="97">
        <f>SUM(D147:INDEX(D147:K147,0,MATCH('RFPR cover'!$C$7,$D$6:$K$6,0)))</f>
        <v>0.17988575456248945</v>
      </c>
      <c r="M147" s="99">
        <f>SUM(D147:K147)</f>
        <v>16.770793700573982</v>
      </c>
    </row>
    <row r="148" spans="1:20">
      <c r="A148" s="36"/>
      <c r="B148" s="800" t="s">
        <v>280</v>
      </c>
      <c r="C148" s="163" t="s">
        <v>128</v>
      </c>
      <c r="D148" s="100">
        <f t="shared" ref="D148:K148" si="52">D113+D141</f>
        <v>3.15539005221558</v>
      </c>
      <c r="E148" s="101">
        <f t="shared" si="52"/>
        <v>-8.3562934021350816</v>
      </c>
      <c r="F148" s="101">
        <f t="shared" si="52"/>
        <v>-14.974827126129387</v>
      </c>
      <c r="G148" s="101">
        <f t="shared" si="52"/>
        <v>20.595463903361363</v>
      </c>
      <c r="H148" s="101">
        <f t="shared" si="52"/>
        <v>2.9575617382666906</v>
      </c>
      <c r="I148" s="101">
        <f t="shared" si="52"/>
        <v>7.7547915671057002</v>
      </c>
      <c r="J148" s="101">
        <f t="shared" si="52"/>
        <v>12.084117969448229</v>
      </c>
      <c r="K148" s="101">
        <f t="shared" si="52"/>
        <v>15.91564726587286</v>
      </c>
      <c r="L148" s="100">
        <f>SUM(D148:INDEX(D148:K148,0,MATCH('RFPR cover'!$C$7,$D$6:$K$6,0)))</f>
        <v>0.41973342731247243</v>
      </c>
      <c r="M148" s="102">
        <f>SUM(D148:K148)</f>
        <v>39.131851968005947</v>
      </c>
    </row>
    <row r="149" spans="1:20">
      <c r="A149" s="36"/>
      <c r="B149" s="808" t="s">
        <v>11</v>
      </c>
      <c r="C149" s="164" t="s">
        <v>128</v>
      </c>
      <c r="D149" s="147">
        <f>SUM(D147:D148)</f>
        <v>4.5077000745936857</v>
      </c>
      <c r="E149" s="148">
        <f t="shared" ref="E149:K149" si="53">SUM(E147:E148)</f>
        <v>-11.937562003050118</v>
      </c>
      <c r="F149" s="148">
        <f t="shared" si="53"/>
        <v>-21.392610180184839</v>
      </c>
      <c r="G149" s="148">
        <f t="shared" si="53"/>
        <v>29.422091290516235</v>
      </c>
      <c r="H149" s="148">
        <f t="shared" si="53"/>
        <v>4.2250881975238439</v>
      </c>
      <c r="I149" s="148">
        <f t="shared" si="53"/>
        <v>11.078273667293857</v>
      </c>
      <c r="J149" s="148">
        <f t="shared" si="53"/>
        <v>17.263025670640332</v>
      </c>
      <c r="K149" s="148">
        <f t="shared" si="53"/>
        <v>22.736638951246942</v>
      </c>
      <c r="L149" s="147">
        <f>SUM(D149:INDEX(D149:K149,0,MATCH('RFPR cover'!$C$7,$D$6:$K$6,0)))</f>
        <v>0.59961918187496366</v>
      </c>
      <c r="M149" s="149">
        <f>SUM(D149:K149)</f>
        <v>55.902645668579936</v>
      </c>
    </row>
    <row r="150" spans="1:20">
      <c r="A150" s="36"/>
      <c r="B150" s="807"/>
      <c r="D150" s="144"/>
      <c r="E150" s="144"/>
      <c r="F150" s="144"/>
      <c r="G150" s="144"/>
      <c r="H150" s="144"/>
      <c r="I150" s="144"/>
      <c r="J150" s="144"/>
      <c r="K150" s="144"/>
    </row>
    <row r="151" spans="1:20">
      <c r="A151" s="36"/>
      <c r="B151" s="800"/>
    </row>
    <row r="152" spans="1:20">
      <c r="A152" s="83"/>
      <c r="B152" s="799"/>
      <c r="C152" s="158"/>
      <c r="D152" s="83"/>
      <c r="E152" s="83"/>
      <c r="F152" s="83"/>
      <c r="G152" s="83"/>
      <c r="H152" s="83"/>
      <c r="I152" s="83"/>
      <c r="J152" s="83"/>
      <c r="K152" s="83"/>
      <c r="L152" s="83"/>
      <c r="M152" s="83"/>
      <c r="N152" s="83"/>
    </row>
    <row r="153" spans="1:20">
      <c r="B153" s="800"/>
    </row>
    <row r="154" spans="1:20">
      <c r="B154" s="800"/>
    </row>
  </sheetData>
  <mergeCells count="4">
    <mergeCell ref="O14:Q14"/>
    <mergeCell ref="O42:Q42"/>
    <mergeCell ref="O92:Q92"/>
    <mergeCell ref="O120:Q120"/>
  </mergeCells>
  <conditionalFormatting sqref="D6:K6">
    <cfRule type="expression" dxfId="46" priority="7">
      <formula>AND(D$5="Actuals",E$5="Forecast")</formula>
    </cfRule>
  </conditionalFormatting>
  <conditionalFormatting sqref="B118:M142">
    <cfRule type="expression" dxfId="45" priority="3">
      <formula>$B$38="n/a"</formula>
    </cfRule>
  </conditionalFormatting>
  <conditionalFormatting sqref="D5:K5">
    <cfRule type="expression" dxfId="44" priority="2">
      <formula>AND(D$5="Actuals",E$5="Forecast")</formula>
    </cfRule>
  </conditionalFormatting>
  <conditionalFormatting sqref="B38:N64">
    <cfRule type="expression" dxfId="43"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sheetPr>
  <dimension ref="A1:P114"/>
  <sheetViews>
    <sheetView showGridLines="0" zoomScale="80" zoomScaleNormal="80" workbookViewId="0">
      <pane ySplit="6" topLeftCell="A7" activePane="bottomLeft" state="frozen"/>
      <selection activeCell="G29" sqref="G29"/>
      <selection pane="bottomLeft" activeCell="A3" sqref="A3"/>
    </sheetView>
  </sheetViews>
  <sheetFormatPr defaultRowHeight="12.75"/>
  <cols>
    <col min="1" max="1" width="8.375" customWidth="1"/>
    <col min="2" max="2" width="71.375" bestFit="1" customWidth="1"/>
    <col min="3" max="3" width="13.375" style="144" customWidth="1"/>
    <col min="4" max="11" width="11.125" customWidth="1"/>
    <col min="12" max="12" width="12.875" customWidth="1"/>
    <col min="13" max="13" width="12.75" customWidth="1"/>
    <col min="14" max="14" width="5" customWidth="1"/>
  </cols>
  <sheetData>
    <row r="1" spans="1:14" s="38" customFormat="1" ht="20.25">
      <c r="A1" s="136" t="s">
        <v>262</v>
      </c>
      <c r="B1" s="137"/>
      <c r="C1" s="161"/>
      <c r="D1" s="137"/>
      <c r="E1" s="137"/>
      <c r="F1" s="137"/>
      <c r="G1" s="137"/>
      <c r="H1" s="137"/>
      <c r="I1" s="132"/>
      <c r="J1" s="132"/>
      <c r="K1" s="132"/>
      <c r="L1" s="132"/>
      <c r="M1" s="132"/>
      <c r="N1" s="133"/>
    </row>
    <row r="2" spans="1:14" s="38" customFormat="1" ht="20.25">
      <c r="A2" s="138" t="str">
        <f>'RFPR cover'!C5</f>
        <v>WPD-SWEST</v>
      </c>
      <c r="B2" s="37"/>
      <c r="C2" s="162"/>
      <c r="D2" s="37"/>
      <c r="E2" s="37"/>
      <c r="F2" s="37"/>
      <c r="G2" s="37"/>
      <c r="H2" s="37"/>
      <c r="I2" s="27"/>
      <c r="J2" s="27"/>
      <c r="K2" s="27"/>
      <c r="L2" s="27"/>
      <c r="M2" s="27"/>
      <c r="N2" s="127"/>
    </row>
    <row r="3" spans="1:14" s="38" customFormat="1" ht="20.25">
      <c r="A3" s="139">
        <f>'RFPR cover'!C7</f>
        <v>2019</v>
      </c>
      <c r="B3" s="140"/>
      <c r="C3" s="143"/>
      <c r="D3" s="140"/>
      <c r="E3" s="140"/>
      <c r="F3" s="140"/>
      <c r="G3" s="140"/>
      <c r="H3" s="140"/>
      <c r="I3" s="29"/>
      <c r="J3" s="29"/>
      <c r="K3" s="29"/>
      <c r="L3" s="29"/>
      <c r="M3" s="29"/>
      <c r="N3" s="130"/>
    </row>
    <row r="4" spans="1:14" s="2" customFormat="1" ht="12.75" customHeight="1">
      <c r="B4" s="3"/>
      <c r="C4" s="144"/>
    </row>
    <row r="5" spans="1:14" s="2" customFormat="1" ht="12.75" customHeight="1">
      <c r="B5" s="3"/>
      <c r="C5" s="144"/>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4" s="2" customFormat="1" ht="29.25" customHeight="1">
      <c r="C6" s="144"/>
      <c r="D6" s="119">
        <f>'RFPR cover'!$C$13</f>
        <v>2016</v>
      </c>
      <c r="E6" s="120">
        <f>D6+1</f>
        <v>2017</v>
      </c>
      <c r="F6" s="120">
        <f t="shared" ref="F6:K6" si="0">E6+1</f>
        <v>2018</v>
      </c>
      <c r="G6" s="120">
        <f t="shared" si="0"/>
        <v>2019</v>
      </c>
      <c r="H6" s="120">
        <f t="shared" si="0"/>
        <v>2020</v>
      </c>
      <c r="I6" s="120">
        <f t="shared" si="0"/>
        <v>2021</v>
      </c>
      <c r="J6" s="120">
        <f t="shared" si="0"/>
        <v>2022</v>
      </c>
      <c r="K6" s="120">
        <f t="shared" si="0"/>
        <v>2023</v>
      </c>
      <c r="L6" s="103" t="str">
        <f>"Cumulative to "&amp;'RFPR cover'!$C$7</f>
        <v>Cumulative to 2019</v>
      </c>
      <c r="M6" s="121" t="s">
        <v>109</v>
      </c>
    </row>
    <row r="7" spans="1:14" s="2" customFormat="1">
      <c r="A7" s="36"/>
      <c r="C7" s="144"/>
    </row>
    <row r="8" spans="1:14" s="2" customFormat="1">
      <c r="A8" s="36"/>
      <c r="B8" s="118" t="s">
        <v>199</v>
      </c>
      <c r="C8" s="158"/>
      <c r="D8" s="82"/>
      <c r="E8" s="82"/>
      <c r="F8" s="82"/>
      <c r="G8" s="82"/>
      <c r="H8" s="82"/>
      <c r="I8" s="82"/>
      <c r="J8" s="82"/>
      <c r="K8" s="82"/>
      <c r="L8" s="82"/>
      <c r="M8" s="82"/>
      <c r="N8" s="82"/>
    </row>
    <row r="9" spans="1:14" s="2" customFormat="1">
      <c r="A9" s="36"/>
      <c r="B9" s="388" t="s">
        <v>393</v>
      </c>
      <c r="C9" s="388"/>
      <c r="D9" s="388"/>
      <c r="E9" s="388"/>
      <c r="F9" s="388"/>
      <c r="G9" s="388"/>
      <c r="H9" s="388"/>
      <c r="I9" s="388"/>
      <c r="J9" s="388"/>
      <c r="K9" s="388"/>
      <c r="L9" s="388"/>
      <c r="M9" s="388"/>
      <c r="N9" s="388"/>
    </row>
    <row r="10" spans="1:14" s="2" customFormat="1">
      <c r="A10" s="36"/>
      <c r="B10" s="12"/>
      <c r="C10" s="144"/>
    </row>
    <row r="11" spans="1:14" s="2" customFormat="1">
      <c r="A11" s="234" t="s">
        <v>151</v>
      </c>
      <c r="B11" s="36" t="str">
        <f>Data!B153</f>
        <v>Broad measure of customer service</v>
      </c>
      <c r="C11" s="163" t="str">
        <f>'RFPR cover'!$C$14</f>
        <v>£m 12/13</v>
      </c>
      <c r="D11" s="621">
        <v>3.7587605308654028</v>
      </c>
      <c r="E11" s="622">
        <v>3.8070000000000004</v>
      </c>
      <c r="F11" s="622">
        <v>3.8417355976878853</v>
      </c>
      <c r="G11" s="622">
        <v>3.9018000000000028</v>
      </c>
      <c r="H11" s="622">
        <v>3.8585333333333374</v>
      </c>
      <c r="I11" s="622">
        <v>3.8585333333333374</v>
      </c>
      <c r="J11" s="622">
        <v>3.8585333333333374</v>
      </c>
      <c r="K11" s="622">
        <v>3.8585333333333374</v>
      </c>
      <c r="L11" s="698">
        <f>SUM(D11:INDEX(D11:K11,0,MATCH('RFPR cover'!$C$7,$D$6:$K$6,0)))</f>
        <v>15.309296128553292</v>
      </c>
      <c r="M11" s="699">
        <f t="shared" ref="M11:M17" si="1">SUM(D11:K11)</f>
        <v>30.743429461886642</v>
      </c>
    </row>
    <row r="12" spans="1:14" s="2" customFormat="1">
      <c r="A12" s="234" t="s">
        <v>152</v>
      </c>
      <c r="B12" s="36" t="str">
        <f>Data!B154</f>
        <v>Interruptions-related quality of service</v>
      </c>
      <c r="C12" s="163" t="str">
        <f>'RFPR cover'!$C$14</f>
        <v>£m 12/13</v>
      </c>
      <c r="D12" s="623">
        <v>4.8155273776389098</v>
      </c>
      <c r="E12" s="624">
        <v>3.3753648471832101</v>
      </c>
      <c r="F12" s="624">
        <v>-0.36026130831568937</v>
      </c>
      <c r="G12" s="624">
        <v>3.2977777777777764</v>
      </c>
      <c r="H12" s="624">
        <v>2.0706708735991759</v>
      </c>
      <c r="I12" s="624">
        <v>1.8605342260425672</v>
      </c>
      <c r="J12" s="624">
        <v>1.7002932621871485</v>
      </c>
      <c r="K12" s="624">
        <v>1.5400522983317257</v>
      </c>
      <c r="L12" s="702">
        <f>SUM(D12:INDEX(D12:K12,0,MATCH('RFPR cover'!$C$7,$D$6:$K$6,0)))</f>
        <v>11.128408694284207</v>
      </c>
      <c r="M12" s="703">
        <f t="shared" si="1"/>
        <v>18.299959354444827</v>
      </c>
    </row>
    <row r="13" spans="1:14" s="2" customFormat="1">
      <c r="A13" s="234" t="s">
        <v>153</v>
      </c>
      <c r="B13" s="36" t="str">
        <f>Data!B155</f>
        <v>Incentive on connections engagement</v>
      </c>
      <c r="C13" s="163" t="str">
        <f>'RFPR cover'!$C$14</f>
        <v>£m 12/13</v>
      </c>
      <c r="D13" s="623">
        <v>0</v>
      </c>
      <c r="E13" s="624">
        <v>0</v>
      </c>
      <c r="F13" s="624">
        <v>0</v>
      </c>
      <c r="G13" s="624">
        <v>0</v>
      </c>
      <c r="H13" s="624">
        <v>0</v>
      </c>
      <c r="I13" s="624">
        <v>0</v>
      </c>
      <c r="J13" s="624">
        <v>0</v>
      </c>
      <c r="K13" s="624">
        <v>0</v>
      </c>
      <c r="L13" s="702">
        <f>SUM(D13:INDEX(D13:K13,0,MATCH('RFPR cover'!$C$7,$D$6:$K$6,0)))</f>
        <v>0</v>
      </c>
      <c r="M13" s="703">
        <f t="shared" si="1"/>
        <v>0</v>
      </c>
    </row>
    <row r="14" spans="1:14" s="2" customFormat="1">
      <c r="A14" s="234" t="s">
        <v>168</v>
      </c>
      <c r="B14" s="36" t="str">
        <f>Data!B156</f>
        <v>Time to Connect Incentive</v>
      </c>
      <c r="C14" s="163" t="str">
        <f>'RFPR cover'!$C$14</f>
        <v>£m 12/13</v>
      </c>
      <c r="D14" s="623">
        <v>1.1355000000000002</v>
      </c>
      <c r="E14" s="624">
        <v>0.95282322540283193</v>
      </c>
      <c r="F14" s="624">
        <v>1.2</v>
      </c>
      <c r="G14" s="624">
        <v>1.2</v>
      </c>
      <c r="H14" s="624">
        <v>0.77932035801362809</v>
      </c>
      <c r="I14" s="624">
        <v>0.77932035801362809</v>
      </c>
      <c r="J14" s="624">
        <v>0.77932035801362809</v>
      </c>
      <c r="K14" s="624">
        <v>0.77932035801362809</v>
      </c>
      <c r="L14" s="702">
        <f>SUM(D14:INDEX(D14:K14,0,MATCH('RFPR cover'!$C$7,$D$6:$K$6,0)))</f>
        <v>4.4883232254028327</v>
      </c>
      <c r="M14" s="703">
        <f t="shared" si="1"/>
        <v>7.6056046574573442</v>
      </c>
    </row>
    <row r="15" spans="1:14" s="2" customFormat="1">
      <c r="A15" s="234" t="s">
        <v>169</v>
      </c>
      <c r="B15" s="36" t="str">
        <f>Data!B157</f>
        <v>Losses discretionary reward scheme</v>
      </c>
      <c r="C15" s="163" t="str">
        <f>'RFPR cover'!$C$14</f>
        <v>£m 12/13</v>
      </c>
      <c r="D15" s="623">
        <v>0</v>
      </c>
      <c r="E15" s="624">
        <v>0.04</v>
      </c>
      <c r="F15" s="624">
        <v>0</v>
      </c>
      <c r="G15" s="624">
        <v>0</v>
      </c>
      <c r="H15" s="624">
        <v>0</v>
      </c>
      <c r="I15" s="624">
        <f>AVERAGE(E15,G15)</f>
        <v>0.02</v>
      </c>
      <c r="J15" s="624">
        <v>0</v>
      </c>
      <c r="K15" s="624">
        <v>0</v>
      </c>
      <c r="L15" s="702">
        <f>SUM(D15:INDEX(D15:K15,0,MATCH('RFPR cover'!$C$7,$D$6:$K$6,0)))</f>
        <v>0.04</v>
      </c>
      <c r="M15" s="703">
        <f t="shared" si="1"/>
        <v>0.06</v>
      </c>
    </row>
    <row r="16" spans="1:14" s="2" customFormat="1">
      <c r="A16" s="234" t="s">
        <v>170</v>
      </c>
      <c r="B16" s="36" t="str">
        <f>Data!B158</f>
        <v/>
      </c>
      <c r="C16" s="163" t="str">
        <f>'RFPR cover'!$C$14</f>
        <v>£m 12/13</v>
      </c>
      <c r="D16" s="623"/>
      <c r="E16" s="624"/>
      <c r="F16" s="624"/>
      <c r="G16" s="624"/>
      <c r="H16" s="624"/>
      <c r="I16" s="624"/>
      <c r="J16" s="624"/>
      <c r="K16" s="624"/>
      <c r="L16" s="702">
        <f>SUM(D16:INDEX(D16:K16,0,MATCH('RFPR cover'!$C$7,$D$6:$K$6,0)))</f>
        <v>0</v>
      </c>
      <c r="M16" s="703">
        <f t="shared" si="1"/>
        <v>0</v>
      </c>
    </row>
    <row r="17" spans="1:16" s="2" customFormat="1">
      <c r="A17" s="234" t="s">
        <v>481</v>
      </c>
      <c r="B17" s="36" t="str">
        <f>Data!B159</f>
        <v/>
      </c>
      <c r="C17" s="163" t="str">
        <f>'RFPR cover'!$C$14</f>
        <v>£m 12/13</v>
      </c>
      <c r="D17" s="876"/>
      <c r="E17" s="877"/>
      <c r="F17" s="877"/>
      <c r="G17" s="877"/>
      <c r="H17" s="877"/>
      <c r="I17" s="877"/>
      <c r="J17" s="877"/>
      <c r="K17" s="878"/>
      <c r="L17" s="702">
        <f>SUM(D17:INDEX(D17:K17,0,MATCH('RFPR cover'!$C$7,$D$6:$K$6,0)))</f>
        <v>0</v>
      </c>
      <c r="M17" s="703">
        <f t="shared" si="1"/>
        <v>0</v>
      </c>
    </row>
    <row r="18" spans="1:16" s="2" customFormat="1">
      <c r="A18" s="36"/>
      <c r="B18" s="12" t="s">
        <v>203</v>
      </c>
      <c r="C18" s="164" t="str">
        <f>'RFPR cover'!$C$14</f>
        <v>£m 12/13</v>
      </c>
      <c r="D18" s="637">
        <f>SUM(D11:D17)</f>
        <v>9.7097879085043139</v>
      </c>
      <c r="E18" s="637">
        <f t="shared" ref="E18:K18" si="2">SUM(E11:E17)</f>
        <v>8.1751880725860424</v>
      </c>
      <c r="F18" s="637">
        <f t="shared" si="2"/>
        <v>4.6814742893721961</v>
      </c>
      <c r="G18" s="637">
        <f t="shared" si="2"/>
        <v>8.3995777777777789</v>
      </c>
      <c r="H18" s="637">
        <f t="shared" si="2"/>
        <v>6.7085245649461411</v>
      </c>
      <c r="I18" s="637">
        <f t="shared" si="2"/>
        <v>6.518387917389532</v>
      </c>
      <c r="J18" s="637">
        <f t="shared" si="2"/>
        <v>6.3381469535341139</v>
      </c>
      <c r="K18" s="637">
        <f t="shared" si="2"/>
        <v>6.177905989678691</v>
      </c>
      <c r="L18" s="637">
        <f>SUM(L11:L17)</f>
        <v>30.966028048240332</v>
      </c>
      <c r="M18" s="637">
        <f>SUM(M11:M17)</f>
        <v>56.708993473788816</v>
      </c>
    </row>
    <row r="19" spans="1:16" s="2" customFormat="1">
      <c r="A19" s="36"/>
      <c r="B19" s="12"/>
      <c r="C19" s="164"/>
      <c r="D19" s="164"/>
      <c r="E19" s="164"/>
      <c r="F19" s="164"/>
      <c r="G19" s="164"/>
      <c r="H19" s="164"/>
      <c r="I19" s="164"/>
      <c r="J19" s="164"/>
      <c r="K19" s="164"/>
      <c r="L19" s="164"/>
      <c r="M19" s="164"/>
    </row>
    <row r="20" spans="1:16" s="2" customFormat="1">
      <c r="A20" s="36"/>
      <c r="B20" s="12" t="s">
        <v>375</v>
      </c>
      <c r="C20" s="164"/>
      <c r="D20" s="164"/>
      <c r="E20" s="164"/>
      <c r="F20" s="164"/>
      <c r="G20" s="164"/>
      <c r="H20" s="164"/>
      <c r="I20" s="164"/>
      <c r="J20" s="164"/>
      <c r="K20" s="164"/>
      <c r="L20" s="164"/>
      <c r="M20" s="164"/>
    </row>
    <row r="21" spans="1:16" s="2" customFormat="1">
      <c r="A21" s="283" t="str">
        <f>A11</f>
        <v>a</v>
      </c>
      <c r="B21" s="990"/>
      <c r="C21" s="990"/>
      <c r="D21" s="990"/>
      <c r="E21" s="990"/>
      <c r="F21" s="990"/>
      <c r="G21" s="990"/>
      <c r="H21" s="990"/>
      <c r="I21" s="990"/>
      <c r="J21" s="990"/>
      <c r="K21" s="990"/>
      <c r="L21" s="990"/>
      <c r="M21" s="990"/>
    </row>
    <row r="22" spans="1:16" s="2" customFormat="1">
      <c r="A22" s="283" t="str">
        <f>A12</f>
        <v>b</v>
      </c>
      <c r="B22" s="990" t="s">
        <v>585</v>
      </c>
      <c r="C22" s="990"/>
      <c r="D22" s="990"/>
      <c r="E22" s="990"/>
      <c r="F22" s="990"/>
      <c r="G22" s="990"/>
      <c r="H22" s="990"/>
      <c r="I22" s="990"/>
      <c r="J22" s="990"/>
      <c r="K22" s="990"/>
      <c r="L22" s="990"/>
      <c r="M22" s="990"/>
    </row>
    <row r="23" spans="1:16" s="2" customFormat="1">
      <c r="A23" s="283" t="str">
        <f>A13</f>
        <v>c</v>
      </c>
      <c r="B23" s="990" t="s">
        <v>607</v>
      </c>
      <c r="C23" s="990"/>
      <c r="D23" s="990"/>
      <c r="E23" s="990"/>
      <c r="F23" s="990"/>
      <c r="G23" s="990"/>
      <c r="H23" s="990"/>
      <c r="I23" s="990"/>
      <c r="J23" s="990"/>
      <c r="K23" s="990"/>
      <c r="L23" s="990"/>
      <c r="M23" s="990"/>
    </row>
    <row r="24" spans="1:16" s="2" customFormat="1" ht="30" customHeight="1">
      <c r="A24" s="283" t="str">
        <f>A14</f>
        <v>d</v>
      </c>
      <c r="B24" s="991" t="s">
        <v>586</v>
      </c>
      <c r="C24" s="991"/>
      <c r="D24" s="991"/>
      <c r="E24" s="991"/>
      <c r="F24" s="991"/>
      <c r="G24" s="991"/>
      <c r="H24" s="991"/>
      <c r="I24" s="991"/>
      <c r="J24" s="991"/>
      <c r="K24" s="991"/>
      <c r="L24" s="991"/>
      <c r="M24" s="991"/>
    </row>
    <row r="25" spans="1:16" s="2" customFormat="1">
      <c r="A25" s="283" t="str">
        <f>A15</f>
        <v>e</v>
      </c>
      <c r="B25" s="990"/>
      <c r="C25" s="990"/>
      <c r="D25" s="990"/>
      <c r="E25" s="990"/>
      <c r="F25" s="990"/>
      <c r="G25" s="990"/>
      <c r="H25" s="990"/>
      <c r="I25" s="990"/>
      <c r="J25" s="990"/>
      <c r="K25" s="990"/>
      <c r="L25" s="990"/>
      <c r="M25" s="990"/>
    </row>
    <row r="26" spans="1:16" s="2" customFormat="1">
      <c r="A26" s="283" t="s">
        <v>170</v>
      </c>
      <c r="B26" s="872"/>
      <c r="C26" s="872"/>
      <c r="D26" s="872"/>
      <c r="E26" s="872"/>
      <c r="F26" s="872"/>
      <c r="G26" s="872"/>
      <c r="H26" s="872"/>
      <c r="I26" s="872"/>
      <c r="J26" s="872"/>
      <c r="K26" s="872"/>
      <c r="L26" s="872"/>
      <c r="M26" s="872"/>
    </row>
    <row r="27" spans="1:16" s="2" customFormat="1">
      <c r="A27" s="283" t="s">
        <v>481</v>
      </c>
      <c r="B27" s="872"/>
      <c r="C27" s="872"/>
      <c r="D27" s="872"/>
      <c r="E27" s="872"/>
      <c r="F27" s="872"/>
      <c r="G27" s="872"/>
      <c r="H27" s="872"/>
      <c r="I27" s="872"/>
      <c r="J27" s="872"/>
      <c r="K27" s="872"/>
      <c r="L27" s="872"/>
      <c r="M27" s="872"/>
    </row>
    <row r="28" spans="1:16" s="559" customFormat="1">
      <c r="A28" s="39"/>
      <c r="B28" s="563"/>
      <c r="C28" s="563"/>
      <c r="D28" s="563"/>
      <c r="E28" s="563"/>
      <c r="F28" s="563"/>
      <c r="G28" s="563"/>
      <c r="H28" s="563"/>
      <c r="I28" s="563"/>
      <c r="J28" s="563"/>
      <c r="K28" s="563"/>
      <c r="L28" s="563"/>
      <c r="M28" s="563"/>
    </row>
    <row r="29" spans="1:16" s="2" customFormat="1">
      <c r="B29" s="12"/>
      <c r="C29" s="144"/>
      <c r="D29" s="53"/>
      <c r="E29" s="53"/>
      <c r="F29" s="53"/>
      <c r="G29" s="53"/>
      <c r="H29" s="53"/>
      <c r="I29" s="53"/>
      <c r="J29" s="53"/>
      <c r="K29" s="53"/>
    </row>
    <row r="30" spans="1:16" s="2" customFormat="1">
      <c r="A30" s="36"/>
      <c r="B30" s="118" t="s">
        <v>200</v>
      </c>
      <c r="C30" s="158"/>
      <c r="D30" s="82"/>
      <c r="E30" s="82"/>
      <c r="F30" s="82"/>
      <c r="G30" s="82"/>
      <c r="H30" s="82"/>
      <c r="I30" s="82"/>
      <c r="J30" s="82"/>
      <c r="K30" s="82"/>
      <c r="L30" s="82"/>
      <c r="M30" s="82"/>
      <c r="N30" s="82"/>
    </row>
    <row r="31" spans="1:16" s="2" customFormat="1">
      <c r="A31" s="36"/>
      <c r="B31" s="36"/>
      <c r="C31" s="36"/>
      <c r="D31" s="36"/>
      <c r="E31" s="36"/>
      <c r="F31" s="36"/>
      <c r="G31" s="36"/>
      <c r="H31" s="36"/>
      <c r="I31" s="36"/>
      <c r="J31" s="36"/>
      <c r="K31" s="36"/>
      <c r="L31" s="36"/>
      <c r="M31" s="36"/>
      <c r="N31" s="36"/>
      <c r="O31" s="36"/>
      <c r="P31" s="36"/>
    </row>
    <row r="32" spans="1:16" s="2" customFormat="1">
      <c r="A32" s="36"/>
      <c r="B32" s="388" t="s">
        <v>211</v>
      </c>
      <c r="C32" s="306"/>
      <c r="D32" s="308"/>
      <c r="E32" s="308"/>
      <c r="F32" s="308"/>
      <c r="G32" s="308"/>
      <c r="H32" s="308"/>
      <c r="I32" s="308"/>
      <c r="J32" s="308"/>
      <c r="K32" s="308"/>
      <c r="L32" s="308"/>
      <c r="M32" s="308"/>
      <c r="N32" s="308"/>
    </row>
    <row r="33" spans="1:14" s="2" customFormat="1">
      <c r="A33" s="36"/>
      <c r="B33" s="389" t="s">
        <v>241</v>
      </c>
      <c r="C33" s="306"/>
      <c r="D33" s="308"/>
      <c r="E33" s="308"/>
      <c r="F33" s="308"/>
      <c r="G33" s="308"/>
      <c r="H33" s="308"/>
      <c r="I33" s="308"/>
      <c r="J33" s="308"/>
      <c r="K33" s="308"/>
      <c r="L33" s="308"/>
      <c r="M33" s="308"/>
      <c r="N33" s="308"/>
    </row>
    <row r="34" spans="1:14" s="2" customFormat="1">
      <c r="A34" s="36"/>
      <c r="B34" s="389" t="s">
        <v>482</v>
      </c>
      <c r="C34" s="306"/>
      <c r="D34" s="308"/>
      <c r="E34" s="308"/>
      <c r="F34" s="308"/>
      <c r="G34" s="308"/>
      <c r="H34" s="308"/>
      <c r="I34" s="308"/>
      <c r="J34" s="308"/>
      <c r="K34" s="308"/>
      <c r="L34" s="308"/>
      <c r="M34" s="308"/>
      <c r="N34" s="308"/>
    </row>
    <row r="35" spans="1:14" s="2" customFormat="1">
      <c r="A35" s="36"/>
      <c r="B35" s="389" t="s">
        <v>209</v>
      </c>
      <c r="C35" s="306"/>
      <c r="D35" s="308"/>
      <c r="E35" s="308"/>
      <c r="F35" s="308"/>
      <c r="G35" s="308"/>
      <c r="H35" s="308"/>
      <c r="I35" s="308"/>
      <c r="J35" s="308"/>
      <c r="K35" s="308"/>
      <c r="L35" s="308"/>
      <c r="M35" s="308"/>
      <c r="N35" s="308"/>
    </row>
    <row r="36" spans="1:14" s="2" customFormat="1">
      <c r="A36" s="36"/>
      <c r="B36" s="389" t="s">
        <v>202</v>
      </c>
      <c r="C36" s="306"/>
      <c r="D36" s="308"/>
      <c r="E36" s="308"/>
      <c r="F36" s="308"/>
      <c r="G36" s="308"/>
      <c r="H36" s="308"/>
      <c r="I36" s="308"/>
      <c r="J36" s="308"/>
      <c r="K36" s="308"/>
      <c r="L36" s="308"/>
      <c r="M36" s="308"/>
      <c r="N36" s="308"/>
    </row>
    <row r="37" spans="1:14" s="2" customFormat="1">
      <c r="A37" s="36"/>
      <c r="B37" s="389" t="s">
        <v>208</v>
      </c>
      <c r="C37" s="306"/>
      <c r="D37" s="308"/>
      <c r="E37" s="308"/>
      <c r="F37" s="308"/>
      <c r="G37" s="308"/>
      <c r="H37" s="308"/>
      <c r="I37" s="308"/>
      <c r="J37" s="308"/>
      <c r="K37" s="308"/>
      <c r="L37" s="308"/>
      <c r="M37" s="308"/>
      <c r="N37" s="308"/>
    </row>
    <row r="38" spans="1:14" s="2" customFormat="1">
      <c r="B38" s="12"/>
      <c r="C38" s="144"/>
    </row>
    <row r="39" spans="1:14" s="2" customFormat="1">
      <c r="A39" s="168" t="str">
        <f t="shared" ref="A39:A45" si="3">A11</f>
        <v>a</v>
      </c>
      <c r="B39" s="36" t="str">
        <f>$B$11&amp;""</f>
        <v>Broad measure of customer service</v>
      </c>
      <c r="C39" s="163" t="str">
        <f>'RFPR cover'!$C$14</f>
        <v>£m 12/13</v>
      </c>
      <c r="D39" s="698">
        <f>D51</f>
        <v>3.0445960300009767</v>
      </c>
      <c r="E39" s="698">
        <f t="shared" ref="E39:K39" si="4">E51</f>
        <v>3.0836700000000006</v>
      </c>
      <c r="F39" s="698">
        <f t="shared" si="4"/>
        <v>3.1118058341271873</v>
      </c>
      <c r="G39" s="698">
        <f t="shared" si="4"/>
        <v>3.238494000000002</v>
      </c>
      <c r="H39" s="698">
        <f t="shared" si="4"/>
        <v>3.2025826666666699</v>
      </c>
      <c r="I39" s="698">
        <f t="shared" si="4"/>
        <v>3.2025826666666699</v>
      </c>
      <c r="J39" s="698">
        <f t="shared" si="4"/>
        <v>3.2025826666666699</v>
      </c>
      <c r="K39" s="698">
        <f t="shared" si="4"/>
        <v>3.2025826666666699</v>
      </c>
      <c r="L39" s="698">
        <f>SUM(D39:INDEX(D39:K39,0,MATCH('RFPR cover'!$C$7,$D$6:$K$6,0)))</f>
        <v>12.478565864128168</v>
      </c>
      <c r="M39" s="699">
        <f t="shared" ref="M39:M45" si="5">SUM(D39:K39)</f>
        <v>25.288896530794851</v>
      </c>
    </row>
    <row r="40" spans="1:14" s="2" customFormat="1">
      <c r="A40" s="168" t="str">
        <f t="shared" si="3"/>
        <v>b</v>
      </c>
      <c r="B40" s="36" t="str">
        <f>$B$12&amp;""</f>
        <v>Interruptions-related quality of service</v>
      </c>
      <c r="C40" s="163" t="str">
        <f>'RFPR cover'!$C$14</f>
        <v>£m 12/13</v>
      </c>
      <c r="D40" s="698">
        <f>D55</f>
        <v>3.9005771758875172</v>
      </c>
      <c r="E40" s="698">
        <f t="shared" ref="E40:K40" si="6">E55</f>
        <v>2.7340455262184005</v>
      </c>
      <c r="F40" s="698">
        <f t="shared" si="6"/>
        <v>-0.29181165973570838</v>
      </c>
      <c r="G40" s="698">
        <f t="shared" si="6"/>
        <v>2.7371555555555545</v>
      </c>
      <c r="H40" s="698">
        <f t="shared" si="6"/>
        <v>1.718656825087316</v>
      </c>
      <c r="I40" s="698">
        <f t="shared" si="6"/>
        <v>1.5442434076153306</v>
      </c>
      <c r="J40" s="698">
        <f t="shared" si="6"/>
        <v>1.4112434076153333</v>
      </c>
      <c r="K40" s="698">
        <f t="shared" si="6"/>
        <v>1.2782434076153324</v>
      </c>
      <c r="L40" s="702">
        <f>SUM(D40:INDEX(D40:K40,0,MATCH('RFPR cover'!$C$7,$D$6:$K$6,0)))</f>
        <v>9.0799665979257629</v>
      </c>
      <c r="M40" s="703">
        <f t="shared" si="5"/>
        <v>15.032353645859075</v>
      </c>
    </row>
    <row r="41" spans="1:14" s="2" customFormat="1">
      <c r="A41" s="168" t="str">
        <f t="shared" si="3"/>
        <v>c</v>
      </c>
      <c r="B41" s="36" t="str">
        <f>$B$13&amp;""</f>
        <v>Incentive on connections engagement</v>
      </c>
      <c r="C41" s="163" t="str">
        <f>'RFPR cover'!$C$14</f>
        <v>£m 12/13</v>
      </c>
      <c r="D41" s="698">
        <f>D59</f>
        <v>0</v>
      </c>
      <c r="E41" s="698">
        <f t="shared" ref="E41:K41" si="7">E59</f>
        <v>0</v>
      </c>
      <c r="F41" s="698">
        <f t="shared" si="7"/>
        <v>0</v>
      </c>
      <c r="G41" s="698">
        <f t="shared" si="7"/>
        <v>0</v>
      </c>
      <c r="H41" s="698">
        <f t="shared" si="7"/>
        <v>0</v>
      </c>
      <c r="I41" s="698">
        <f t="shared" si="7"/>
        <v>0</v>
      </c>
      <c r="J41" s="698">
        <f t="shared" si="7"/>
        <v>0</v>
      </c>
      <c r="K41" s="698">
        <f t="shared" si="7"/>
        <v>0</v>
      </c>
      <c r="L41" s="702">
        <f>SUM(D41:INDEX(D41:K41,0,MATCH('RFPR cover'!$C$7,$D$6:$K$6,0)))</f>
        <v>0</v>
      </c>
      <c r="M41" s="703">
        <f t="shared" si="5"/>
        <v>0</v>
      </c>
    </row>
    <row r="42" spans="1:14" s="2" customFormat="1">
      <c r="A42" s="168" t="str">
        <f t="shared" si="3"/>
        <v>d</v>
      </c>
      <c r="B42" s="36" t="str">
        <f>$B$14&amp;""</f>
        <v>Time to Connect Incentive</v>
      </c>
      <c r="C42" s="163" t="str">
        <f>'RFPR cover'!$C$14</f>
        <v>£m 12/13</v>
      </c>
      <c r="D42" s="698">
        <f>D63</f>
        <v>0.91975500000000021</v>
      </c>
      <c r="E42" s="698">
        <f t="shared" ref="E42:K42" si="8">E63</f>
        <v>0.77178681257629389</v>
      </c>
      <c r="F42" s="698">
        <f t="shared" si="8"/>
        <v>0.97199999999999998</v>
      </c>
      <c r="G42" s="698">
        <f t="shared" si="8"/>
        <v>0.99599999999999989</v>
      </c>
      <c r="H42" s="698">
        <f t="shared" si="8"/>
        <v>0.64683589715131129</v>
      </c>
      <c r="I42" s="698">
        <f t="shared" si="8"/>
        <v>0.64683589715131129</v>
      </c>
      <c r="J42" s="698">
        <f t="shared" si="8"/>
        <v>0.64683589715131129</v>
      </c>
      <c r="K42" s="698">
        <f t="shared" si="8"/>
        <v>0.64683589715131129</v>
      </c>
      <c r="L42" s="702">
        <f>SUM(D42:INDEX(D42:K42,0,MATCH('RFPR cover'!$C$7,$D$6:$K$6,0)))</f>
        <v>3.6595418125762942</v>
      </c>
      <c r="M42" s="703">
        <f t="shared" si="5"/>
        <v>6.2468854011815385</v>
      </c>
    </row>
    <row r="43" spans="1:14" s="2" customFormat="1">
      <c r="A43" s="168" t="str">
        <f t="shared" si="3"/>
        <v>e</v>
      </c>
      <c r="B43" s="36" t="str">
        <f>$B$15&amp;""</f>
        <v>Losses discretionary reward scheme</v>
      </c>
      <c r="C43" s="163" t="str">
        <f>'RFPR cover'!$C$14</f>
        <v>£m 12/13</v>
      </c>
      <c r="D43" s="698">
        <f>D67</f>
        <v>0</v>
      </c>
      <c r="E43" s="698">
        <f t="shared" ref="E43:K43" si="9">E67</f>
        <v>3.2400000000000005E-2</v>
      </c>
      <c r="F43" s="698">
        <f t="shared" si="9"/>
        <v>0</v>
      </c>
      <c r="G43" s="698">
        <f t="shared" si="9"/>
        <v>0</v>
      </c>
      <c r="H43" s="698">
        <f t="shared" si="9"/>
        <v>0</v>
      </c>
      <c r="I43" s="698">
        <f t="shared" si="9"/>
        <v>1.66E-2</v>
      </c>
      <c r="J43" s="698">
        <f t="shared" si="9"/>
        <v>0</v>
      </c>
      <c r="K43" s="698">
        <f t="shared" si="9"/>
        <v>0</v>
      </c>
      <c r="L43" s="702">
        <f>SUM(D43:INDEX(D43:K43,0,MATCH('RFPR cover'!$C$7,$D$6:$K$6,0)))</f>
        <v>3.2400000000000005E-2</v>
      </c>
      <c r="M43" s="703">
        <f t="shared" si="5"/>
        <v>4.9000000000000002E-2</v>
      </c>
    </row>
    <row r="44" spans="1:14" s="2" customFormat="1">
      <c r="A44" s="168" t="str">
        <f t="shared" si="3"/>
        <v>f</v>
      </c>
      <c r="B44" s="36" t="str">
        <f>$B$16&amp;""</f>
        <v/>
      </c>
      <c r="C44" s="163" t="str">
        <f>'RFPR cover'!$C$14</f>
        <v>£m 12/13</v>
      </c>
      <c r="D44" s="698">
        <f>D71</f>
        <v>0</v>
      </c>
      <c r="E44" s="698">
        <f t="shared" ref="E44:K44" si="10">E71</f>
        <v>0</v>
      </c>
      <c r="F44" s="698">
        <f t="shared" si="10"/>
        <v>0</v>
      </c>
      <c r="G44" s="698">
        <f t="shared" si="10"/>
        <v>0</v>
      </c>
      <c r="H44" s="698">
        <f t="shared" si="10"/>
        <v>0</v>
      </c>
      <c r="I44" s="698">
        <f t="shared" si="10"/>
        <v>0</v>
      </c>
      <c r="J44" s="698">
        <f t="shared" si="10"/>
        <v>0</v>
      </c>
      <c r="K44" s="698">
        <f t="shared" si="10"/>
        <v>0</v>
      </c>
      <c r="L44" s="702">
        <f>SUM(D44:INDEX(D44:K44,0,MATCH('RFPR cover'!$C$7,$D$6:$K$6,0)))</f>
        <v>0</v>
      </c>
      <c r="M44" s="703">
        <f t="shared" si="5"/>
        <v>0</v>
      </c>
    </row>
    <row r="45" spans="1:14" s="2" customFormat="1">
      <c r="A45" s="168" t="str">
        <f t="shared" si="3"/>
        <v>g</v>
      </c>
      <c r="B45" s="36" t="str">
        <f>$B$17&amp;""</f>
        <v/>
      </c>
      <c r="C45" s="163" t="str">
        <f>'RFPR cover'!$C$14</f>
        <v>£m 12/13</v>
      </c>
      <c r="D45" s="698">
        <f>D75</f>
        <v>0</v>
      </c>
      <c r="E45" s="698">
        <f t="shared" ref="E45:K45" si="11">E75</f>
        <v>0</v>
      </c>
      <c r="F45" s="698">
        <f t="shared" si="11"/>
        <v>0</v>
      </c>
      <c r="G45" s="698">
        <f t="shared" si="11"/>
        <v>0</v>
      </c>
      <c r="H45" s="698">
        <f t="shared" si="11"/>
        <v>0</v>
      </c>
      <c r="I45" s="698">
        <f t="shared" si="11"/>
        <v>0</v>
      </c>
      <c r="J45" s="698">
        <f t="shared" si="11"/>
        <v>0</v>
      </c>
      <c r="K45" s="698">
        <f t="shared" si="11"/>
        <v>0</v>
      </c>
      <c r="L45" s="702">
        <f>SUM(D45:INDEX(D45:K45,0,MATCH('RFPR cover'!$C$7,$D$6:$K$6,0)))</f>
        <v>0</v>
      </c>
      <c r="M45" s="703">
        <f t="shared" si="5"/>
        <v>0</v>
      </c>
    </row>
    <row r="46" spans="1:14" s="2" customFormat="1">
      <c r="B46" s="12" t="s">
        <v>204</v>
      </c>
      <c r="C46" s="164" t="str">
        <f>'RFPR cover'!$C$14</f>
        <v>£m 12/13</v>
      </c>
      <c r="D46" s="637">
        <f>SUM(D39:D45)</f>
        <v>7.8649282058884946</v>
      </c>
      <c r="E46" s="637">
        <f t="shared" ref="E46:M46" si="12">SUM(E39:E45)</f>
        <v>6.6219023387946949</v>
      </c>
      <c r="F46" s="637">
        <f t="shared" si="12"/>
        <v>3.7919941743914789</v>
      </c>
      <c r="G46" s="637">
        <f t="shared" si="12"/>
        <v>6.9716495555555555</v>
      </c>
      <c r="H46" s="638">
        <f t="shared" si="12"/>
        <v>5.5680753889052976</v>
      </c>
      <c r="I46" s="638">
        <f t="shared" si="12"/>
        <v>5.4102619714333127</v>
      </c>
      <c r="J46" s="638">
        <f t="shared" si="12"/>
        <v>5.2606619714333149</v>
      </c>
      <c r="K46" s="638">
        <f t="shared" si="12"/>
        <v>5.127661971433314</v>
      </c>
      <c r="L46" s="637">
        <f t="shared" si="12"/>
        <v>25.250474274630225</v>
      </c>
      <c r="M46" s="637">
        <f t="shared" si="12"/>
        <v>46.617135577835462</v>
      </c>
    </row>
    <row r="47" spans="1:14" s="2" customFormat="1">
      <c r="B47" s="12"/>
      <c r="C47" s="164"/>
      <c r="D47" s="164"/>
      <c r="E47" s="164"/>
      <c r="F47" s="164"/>
      <c r="G47" s="164"/>
      <c r="H47" s="164"/>
      <c r="I47" s="164"/>
      <c r="J47" s="164"/>
      <c r="K47" s="164"/>
      <c r="L47" s="164"/>
      <c r="M47" s="164"/>
    </row>
    <row r="48" spans="1:14" s="2" customFormat="1">
      <c r="B48" s="12"/>
      <c r="C48" s="164"/>
      <c r="D48" s="169"/>
      <c r="E48" s="164"/>
      <c r="F48" s="164"/>
      <c r="G48" s="164"/>
      <c r="H48" s="164"/>
      <c r="I48" s="164"/>
      <c r="J48" s="164"/>
      <c r="K48" s="164"/>
      <c r="L48" s="164"/>
      <c r="M48" s="164"/>
    </row>
    <row r="49" spans="1:13" s="2" customFormat="1">
      <c r="A49" s="168" t="str">
        <f>$A$11</f>
        <v>a</v>
      </c>
      <c r="B49" s="180" t="str">
        <f>INDEX($B$11:$B$15,MATCH($A49,$A$11:$A$15,0),0)&amp;""</f>
        <v>Broad measure of customer service</v>
      </c>
      <c r="C49" s="163" t="str">
        <f>'RFPR cover'!$C$14</f>
        <v>£m 12/13</v>
      </c>
      <c r="D49" s="809">
        <f>INDEX($D$11:$K$17,MATCH($A49,$A$11:$A$17,0),0)</f>
        <v>3.7587605308654028</v>
      </c>
      <c r="E49" s="809">
        <f t="shared" ref="E49:K49" si="13">INDEX($D$11:$K$17,MATCH($A49,$A$11:$A$17,0),0)</f>
        <v>3.8070000000000004</v>
      </c>
      <c r="F49" s="809">
        <f t="shared" si="13"/>
        <v>3.8417355976878853</v>
      </c>
      <c r="G49" s="809">
        <f t="shared" si="13"/>
        <v>3.9018000000000028</v>
      </c>
      <c r="H49" s="809">
        <f t="shared" si="13"/>
        <v>3.8585333333333374</v>
      </c>
      <c r="I49" s="809">
        <f t="shared" si="13"/>
        <v>3.8585333333333374</v>
      </c>
      <c r="J49" s="809">
        <f t="shared" si="13"/>
        <v>3.8585333333333374</v>
      </c>
      <c r="K49" s="809">
        <f t="shared" si="13"/>
        <v>3.8585333333333374</v>
      </c>
      <c r="L49" s="809">
        <f>SUM(D49:INDEX(D49:K49,0,MATCH('RFPR cover'!$C$7,$D$6:$K$6,0)))</f>
        <v>15.309296128553292</v>
      </c>
      <c r="M49" s="810">
        <f>SUM(D49:K49)</f>
        <v>30.743429461886642</v>
      </c>
    </row>
    <row r="50" spans="1:13" s="2" customFormat="1">
      <c r="A50" s="168"/>
      <c r="B50" s="36" t="s">
        <v>201</v>
      </c>
      <c r="C50" s="309" t="s">
        <v>202</v>
      </c>
      <c r="D50" s="915">
        <f>IF($C50=$B$33,$B$33,INDEX(Data!$G$14:$G$30,MATCH('R5 - Output Incentives'!D$6+RIGHT('R5 - Output Incentives'!$C50,2),Data!$C$14:$C$30,0),0))</f>
        <v>0.19</v>
      </c>
      <c r="E50" s="916">
        <f>IF($C50=$B$33,$B$33,INDEX(Data!$G$14:$G$30,MATCH('R5 - Output Incentives'!E$6+RIGHT('R5 - Output Incentives'!$C50,2),Data!$C$14:$C$30,0),0))</f>
        <v>0.19</v>
      </c>
      <c r="F50" s="916">
        <f>IF($C50=$B$33,$B$33,INDEX(Data!$G$14:$G$30,MATCH('R5 - Output Incentives'!F$6+RIGHT('R5 - Output Incentives'!$C50,2),Data!$C$14:$C$30,0),0))</f>
        <v>0.19</v>
      </c>
      <c r="G50" s="916">
        <f>IF($C50=$B$33,$B$33,INDEX(Data!$G$14:$G$30,MATCH('R5 - Output Incentives'!G$6+RIGHT('R5 - Output Incentives'!$C50,2),Data!$C$14:$C$30,0),0))</f>
        <v>0.17</v>
      </c>
      <c r="H50" s="916">
        <f>IF($C50=$B$33,$B$33,INDEX(Data!$G$14:$G$30,MATCH('R5 - Output Incentives'!H$6+RIGHT('R5 - Output Incentives'!$C50,2),Data!$C$14:$C$30,0),0))</f>
        <v>0.17</v>
      </c>
      <c r="I50" s="916">
        <f>IF($C50=$B$33,$B$33,INDEX(Data!$G$14:$G$30,MATCH('R5 - Output Incentives'!I$6+RIGHT('R5 - Output Incentives'!$C50,2),Data!$C$14:$C$30,0),0))</f>
        <v>0.17</v>
      </c>
      <c r="J50" s="916">
        <f>IF($C50=$B$33,$B$33,INDEX(Data!$G$14:$G$30,MATCH('R5 - Output Incentives'!J$6+RIGHT('R5 - Output Incentives'!$C50,2),Data!$C$14:$C$30,0),0))</f>
        <v>0.17</v>
      </c>
      <c r="K50" s="917">
        <f>IF($C50=$B$33,$B$33,INDEX(Data!$G$14:$G$30,MATCH('R5 - Output Incentives'!K$6+RIGHT('R5 - Output Incentives'!$C50,2),Data!$C$14:$C$30,0),0))</f>
        <v>0.17</v>
      </c>
      <c r="L50" s="811"/>
      <c r="M50" s="812"/>
    </row>
    <row r="51" spans="1:13" s="2" customFormat="1">
      <c r="A51" s="168"/>
      <c r="B51" s="36" t="s">
        <v>210</v>
      </c>
      <c r="C51" s="163"/>
      <c r="D51" s="637">
        <f>IFERROR(D49*(1-D50),0)</f>
        <v>3.0445960300009767</v>
      </c>
      <c r="E51" s="638">
        <f t="shared" ref="E51:K51" si="14">IFERROR(E49*(1-E50),0)</f>
        <v>3.0836700000000006</v>
      </c>
      <c r="F51" s="638">
        <f t="shared" si="14"/>
        <v>3.1118058341271873</v>
      </c>
      <c r="G51" s="638">
        <f t="shared" si="14"/>
        <v>3.238494000000002</v>
      </c>
      <c r="H51" s="638">
        <f t="shared" si="14"/>
        <v>3.2025826666666699</v>
      </c>
      <c r="I51" s="638">
        <f t="shared" si="14"/>
        <v>3.2025826666666699</v>
      </c>
      <c r="J51" s="638">
        <f t="shared" si="14"/>
        <v>3.2025826666666699</v>
      </c>
      <c r="K51" s="638">
        <f t="shared" si="14"/>
        <v>3.2025826666666699</v>
      </c>
      <c r="L51" s="696">
        <f>SUM(D51:INDEX(D51:K51,0,MATCH('RFPR cover'!$C$7,$D$6:$K$6,0)))</f>
        <v>12.478565864128168</v>
      </c>
      <c r="M51" s="697">
        <f>SUM(D51:K51)</f>
        <v>25.288896530794851</v>
      </c>
    </row>
    <row r="52" spans="1:13" s="2" customFormat="1">
      <c r="A52" s="168"/>
      <c r="B52" s="52"/>
      <c r="C52" s="164"/>
      <c r="D52" s="164"/>
      <c r="E52" s="164"/>
      <c r="F52" s="164"/>
      <c r="G52" s="164"/>
      <c r="H52" s="164"/>
      <c r="I52" s="164"/>
      <c r="J52" s="164"/>
      <c r="K52" s="164"/>
      <c r="L52" s="164"/>
      <c r="M52" s="164"/>
    </row>
    <row r="53" spans="1:13" s="2" customFormat="1">
      <c r="A53" s="168" t="str">
        <f>$A$12</f>
        <v>b</v>
      </c>
      <c r="B53" s="180" t="str">
        <f>INDEX($B$11:$B$15,MATCH($A53,$A$11:$A$15,0),0)&amp;""</f>
        <v>Interruptions-related quality of service</v>
      </c>
      <c r="C53" s="163" t="str">
        <f>'RFPR cover'!$C$14</f>
        <v>£m 12/13</v>
      </c>
      <c r="D53" s="809">
        <f>INDEX($D$11:$K$17,MATCH($A53,$A$11:$A$17,0),0)</f>
        <v>4.8155273776389098</v>
      </c>
      <c r="E53" s="809">
        <f t="shared" ref="E53:K53" si="15">INDEX($D$11:$K$17,MATCH($A53,$A$11:$A$17,0),0)</f>
        <v>3.3753648471832101</v>
      </c>
      <c r="F53" s="809">
        <f t="shared" si="15"/>
        <v>-0.36026130831568937</v>
      </c>
      <c r="G53" s="809">
        <f t="shared" si="15"/>
        <v>3.2977777777777764</v>
      </c>
      <c r="H53" s="809">
        <f t="shared" si="15"/>
        <v>2.0706708735991759</v>
      </c>
      <c r="I53" s="809">
        <f t="shared" si="15"/>
        <v>1.8605342260425672</v>
      </c>
      <c r="J53" s="809">
        <f t="shared" si="15"/>
        <v>1.7002932621871485</v>
      </c>
      <c r="K53" s="809">
        <f t="shared" si="15"/>
        <v>1.5400522983317257</v>
      </c>
      <c r="L53" s="698">
        <f>SUM(D53:INDEX(D53:K53,0,MATCH('RFPR cover'!$C$7,$D$6:$K$6,0)))</f>
        <v>11.128408694284207</v>
      </c>
      <c r="M53" s="699">
        <f>SUM(D53:K53)</f>
        <v>18.299959354444827</v>
      </c>
    </row>
    <row r="54" spans="1:13" s="2" customFormat="1">
      <c r="A54" s="168"/>
      <c r="B54" s="36" t="s">
        <v>201</v>
      </c>
      <c r="C54" s="309" t="s">
        <v>202</v>
      </c>
      <c r="D54" s="915">
        <f>IF($C54=$B$33,$B$33,INDEX(Data!$G$14:$G$30,MATCH('R5 - Output Incentives'!D$6+RIGHT('R5 - Output Incentives'!$C54,2),Data!$C$14:$C$30,0),0))</f>
        <v>0.19</v>
      </c>
      <c r="E54" s="916">
        <f>IF($C54=$B$33,$B$33,INDEX(Data!$G$14:$G$30,MATCH('R5 - Output Incentives'!E$6+RIGHT('R5 - Output Incentives'!$C54,2),Data!$C$14:$C$30,0),0))</f>
        <v>0.19</v>
      </c>
      <c r="F54" s="916">
        <f>IF($C54=$B$33,$B$33,INDEX(Data!$G$14:$G$30,MATCH('R5 - Output Incentives'!F$6+RIGHT('R5 - Output Incentives'!$C54,2),Data!$C$14:$C$30,0),0))</f>
        <v>0.19</v>
      </c>
      <c r="G54" s="916">
        <f>IF($C54=$B$33,$B$33,INDEX(Data!$G$14:$G$30,MATCH('R5 - Output Incentives'!G$6+RIGHT('R5 - Output Incentives'!$C54,2),Data!$C$14:$C$30,0),0))</f>
        <v>0.17</v>
      </c>
      <c r="H54" s="916">
        <f>IF($C54=$B$33,$B$33,INDEX(Data!$G$14:$G$30,MATCH('R5 - Output Incentives'!H$6+RIGHT('R5 - Output Incentives'!$C54,2),Data!$C$14:$C$30,0),0))</f>
        <v>0.17</v>
      </c>
      <c r="I54" s="916">
        <f>IF($C54=$B$33,$B$33,INDEX(Data!$G$14:$G$30,MATCH('R5 - Output Incentives'!I$6+RIGHT('R5 - Output Incentives'!$C54,2),Data!$C$14:$C$30,0),0))</f>
        <v>0.17</v>
      </c>
      <c r="J54" s="916">
        <f>IF($C54=$B$33,$B$33,INDEX(Data!$G$14:$G$30,MATCH('R5 - Output Incentives'!J$6+RIGHT('R5 - Output Incentives'!$C54,2),Data!$C$14:$C$30,0),0))</f>
        <v>0.17</v>
      </c>
      <c r="K54" s="917">
        <f>IF($C54=$B$33,$B$33,INDEX(Data!$G$14:$G$30,MATCH('R5 - Output Incentives'!K$6+RIGHT('R5 - Output Incentives'!$C54,2),Data!$C$14:$C$30,0),0))</f>
        <v>0.17</v>
      </c>
      <c r="L54" s="811"/>
      <c r="M54" s="812"/>
    </row>
    <row r="55" spans="1:13" s="2" customFormat="1">
      <c r="A55" s="168"/>
      <c r="B55" s="36" t="s">
        <v>210</v>
      </c>
      <c r="C55" s="163"/>
      <c r="D55" s="637">
        <f>IFERROR(D53*(1-D54),0)</f>
        <v>3.9005771758875172</v>
      </c>
      <c r="E55" s="638">
        <f t="shared" ref="E55:K55" si="16">IFERROR(E53*(1-E54),0)</f>
        <v>2.7340455262184005</v>
      </c>
      <c r="F55" s="638">
        <f t="shared" si="16"/>
        <v>-0.29181165973570838</v>
      </c>
      <c r="G55" s="638">
        <f t="shared" si="16"/>
        <v>2.7371555555555545</v>
      </c>
      <c r="H55" s="638">
        <f t="shared" si="16"/>
        <v>1.718656825087316</v>
      </c>
      <c r="I55" s="638">
        <f t="shared" si="16"/>
        <v>1.5442434076153306</v>
      </c>
      <c r="J55" s="638">
        <f t="shared" si="16"/>
        <v>1.4112434076153333</v>
      </c>
      <c r="K55" s="638">
        <f t="shared" si="16"/>
        <v>1.2782434076153324</v>
      </c>
      <c r="L55" s="696">
        <f>SUM(D55:INDEX(D55:K55,0,MATCH('RFPR cover'!$C$7,$D$6:$K$6,0)))</f>
        <v>9.0799665979257629</v>
      </c>
      <c r="M55" s="697">
        <f>SUM(D55:K55)</f>
        <v>15.032353645859075</v>
      </c>
    </row>
    <row r="56" spans="1:13" s="2" customFormat="1">
      <c r="A56" s="168"/>
      <c r="B56" s="52"/>
      <c r="C56" s="164"/>
      <c r="D56" s="164"/>
      <c r="E56" s="164"/>
      <c r="F56" s="164"/>
      <c r="G56" s="164"/>
      <c r="H56" s="164"/>
      <c r="I56" s="164"/>
      <c r="J56" s="164"/>
      <c r="K56" s="164"/>
      <c r="L56" s="164"/>
      <c r="M56" s="164"/>
    </row>
    <row r="57" spans="1:13" s="2" customFormat="1">
      <c r="A57" s="168" t="str">
        <f>$A$13</f>
        <v>c</v>
      </c>
      <c r="B57" s="180" t="str">
        <f>INDEX($B$11:$B$15,MATCH($A57,$A$11:$A$15,0),0)&amp;""</f>
        <v>Incentive on connections engagement</v>
      </c>
      <c r="C57" s="163" t="str">
        <f>'RFPR cover'!$C$14</f>
        <v>£m 12/13</v>
      </c>
      <c r="D57" s="809">
        <f>INDEX($D$11:$K$17,MATCH($A57,$A$11:$A$17,0),0)</f>
        <v>0</v>
      </c>
      <c r="E57" s="809">
        <f t="shared" ref="E57:K57" si="17">INDEX($D$11:$K$17,MATCH($A57,$A$11:$A$17,0),0)</f>
        <v>0</v>
      </c>
      <c r="F57" s="809">
        <f t="shared" si="17"/>
        <v>0</v>
      </c>
      <c r="G57" s="809">
        <f t="shared" si="17"/>
        <v>0</v>
      </c>
      <c r="H57" s="809">
        <f t="shared" si="17"/>
        <v>0</v>
      </c>
      <c r="I57" s="809">
        <f t="shared" si="17"/>
        <v>0</v>
      </c>
      <c r="J57" s="809">
        <f t="shared" si="17"/>
        <v>0</v>
      </c>
      <c r="K57" s="809">
        <f t="shared" si="17"/>
        <v>0</v>
      </c>
      <c r="L57" s="698">
        <f>SUM(D57:INDEX(D57:K57,0,MATCH('RFPR cover'!$C$7,$D$6:$K$6,0)))</f>
        <v>0</v>
      </c>
      <c r="M57" s="699">
        <f>SUM(D57:K57)</f>
        <v>0</v>
      </c>
    </row>
    <row r="58" spans="1:13" s="2" customFormat="1">
      <c r="A58" s="168"/>
      <c r="B58" s="36" t="s">
        <v>201</v>
      </c>
      <c r="C58" s="309" t="s">
        <v>208</v>
      </c>
      <c r="D58" s="915">
        <f>IF($C58=$B$33,$B$33,INDEX(Data!$G$14:$G$30,MATCH('R5 - Output Incentives'!D$6+RIGHT('R5 - Output Incentives'!$C58,2),Data!$C$14:$C$30,0),0))</f>
        <v>0.19</v>
      </c>
      <c r="E58" s="916">
        <f>IF($C58=$B$33,$B$33,INDEX(Data!$G$14:$G$30,MATCH('R5 - Output Incentives'!E$6+RIGHT('R5 - Output Incentives'!$C58,2),Data!$C$14:$C$30,0),0))</f>
        <v>0.19</v>
      </c>
      <c r="F58" s="916">
        <f>IF($C58=$B$33,$B$33,INDEX(Data!$G$14:$G$30,MATCH('R5 - Output Incentives'!F$6+RIGHT('R5 - Output Incentives'!$C58,2),Data!$C$14:$C$30,0),0))</f>
        <v>0.17</v>
      </c>
      <c r="G58" s="916">
        <f>IF($C58=$B$33,$B$33,INDEX(Data!$G$14:$G$30,MATCH('R5 - Output Incentives'!G$6+RIGHT('R5 - Output Incentives'!$C58,2),Data!$C$14:$C$30,0),0))</f>
        <v>0.17</v>
      </c>
      <c r="H58" s="916">
        <f>IF($C58=$B$33,$B$33,INDEX(Data!$G$14:$G$30,MATCH('R5 - Output Incentives'!H$6+RIGHT('R5 - Output Incentives'!$C58,2),Data!$C$14:$C$30,0),0))</f>
        <v>0.17</v>
      </c>
      <c r="I58" s="916">
        <f>IF($C58=$B$33,$B$33,INDEX(Data!$G$14:$G$30,MATCH('R5 - Output Incentives'!I$6+RIGHT('R5 - Output Incentives'!$C58,2),Data!$C$14:$C$30,0),0))</f>
        <v>0.17</v>
      </c>
      <c r="J58" s="916">
        <f>IF($C58=$B$33,$B$33,INDEX(Data!$G$14:$G$30,MATCH('R5 - Output Incentives'!J$6+RIGHT('R5 - Output Incentives'!$C58,2),Data!$C$14:$C$30,0),0))</f>
        <v>0.17</v>
      </c>
      <c r="K58" s="917">
        <f>IF($C58=$B$33,$B$33,INDEX(Data!$G$14:$G$30,MATCH('R5 - Output Incentives'!K$6+RIGHT('R5 - Output Incentives'!$C58,2),Data!$C$14:$C$30,0),0))</f>
        <v>0.17</v>
      </c>
      <c r="L58" s="811"/>
      <c r="M58" s="812"/>
    </row>
    <row r="59" spans="1:13" s="2" customFormat="1">
      <c r="A59" s="168"/>
      <c r="B59" s="36" t="s">
        <v>210</v>
      </c>
      <c r="C59" s="163"/>
      <c r="D59" s="637">
        <f>IFERROR(D57*(1-D58),0)</f>
        <v>0</v>
      </c>
      <c r="E59" s="638">
        <f t="shared" ref="E59:K59" si="18">IFERROR(E57*(1-E58),0)</f>
        <v>0</v>
      </c>
      <c r="F59" s="638">
        <f t="shared" si="18"/>
        <v>0</v>
      </c>
      <c r="G59" s="638">
        <f t="shared" si="18"/>
        <v>0</v>
      </c>
      <c r="H59" s="638">
        <f t="shared" si="18"/>
        <v>0</v>
      </c>
      <c r="I59" s="638">
        <f t="shared" si="18"/>
        <v>0</v>
      </c>
      <c r="J59" s="638">
        <f t="shared" si="18"/>
        <v>0</v>
      </c>
      <c r="K59" s="638">
        <f t="shared" si="18"/>
        <v>0</v>
      </c>
      <c r="L59" s="696">
        <f>SUM(D59:INDEX(D59:K59,0,MATCH('RFPR cover'!$C$7,$D$6:$K$6,0)))</f>
        <v>0</v>
      </c>
      <c r="M59" s="697">
        <f>SUM(D59:K59)</f>
        <v>0</v>
      </c>
    </row>
    <row r="60" spans="1:13" s="2" customFormat="1">
      <c r="A60" s="168"/>
      <c r="B60" s="52"/>
      <c r="C60" s="164"/>
      <c r="D60" s="164"/>
      <c r="E60" s="164"/>
      <c r="F60" s="164"/>
      <c r="G60" s="164"/>
      <c r="H60" s="164"/>
      <c r="I60" s="164"/>
      <c r="J60" s="164"/>
      <c r="K60" s="164"/>
      <c r="L60" s="164"/>
      <c r="M60" s="164"/>
    </row>
    <row r="61" spans="1:13" s="2" customFormat="1">
      <c r="A61" s="168" t="str">
        <f>$A$14</f>
        <v>d</v>
      </c>
      <c r="B61" s="180" t="str">
        <f>INDEX($B$11:$B$15,MATCH($A61,$A$11:$A$15,0),0)&amp;""</f>
        <v>Time to Connect Incentive</v>
      </c>
      <c r="C61" s="163" t="str">
        <f>'RFPR cover'!$C$14</f>
        <v>£m 12/13</v>
      </c>
      <c r="D61" s="809">
        <f>INDEX($D$11:$K$17,MATCH($A61,$A$11:$A$17,0),0)</f>
        <v>1.1355000000000002</v>
      </c>
      <c r="E61" s="809">
        <f t="shared" ref="E61:K61" si="19">INDEX($D$11:$K$17,MATCH($A61,$A$11:$A$17,0),0)</f>
        <v>0.95282322540283193</v>
      </c>
      <c r="F61" s="809">
        <f t="shared" si="19"/>
        <v>1.2</v>
      </c>
      <c r="G61" s="809">
        <f t="shared" si="19"/>
        <v>1.2</v>
      </c>
      <c r="H61" s="809">
        <f t="shared" si="19"/>
        <v>0.77932035801362809</v>
      </c>
      <c r="I61" s="809">
        <f t="shared" si="19"/>
        <v>0.77932035801362809</v>
      </c>
      <c r="J61" s="809">
        <f t="shared" si="19"/>
        <v>0.77932035801362809</v>
      </c>
      <c r="K61" s="809">
        <f t="shared" si="19"/>
        <v>0.77932035801362809</v>
      </c>
      <c r="L61" s="698">
        <f>SUM(D61:INDEX(D61:K61,0,MATCH('RFPR cover'!$C$7,$D$6:$K$6,0)))</f>
        <v>4.4883232254028327</v>
      </c>
      <c r="M61" s="699">
        <f>SUM(D61:K61)</f>
        <v>7.6056046574573442</v>
      </c>
    </row>
    <row r="62" spans="1:13" s="2" customFormat="1">
      <c r="A62" s="168"/>
      <c r="B62" s="36" t="s">
        <v>201</v>
      </c>
      <c r="C62" s="309" t="s">
        <v>202</v>
      </c>
      <c r="D62" s="915">
        <f>IF($C62=$B$33,$B$33,INDEX(Data!$G$14:$G$30,MATCH('R5 - Output Incentives'!D$6+RIGHT('R5 - Output Incentives'!$C62,2),Data!$C$14:$C$30,0),0))</f>
        <v>0.19</v>
      </c>
      <c r="E62" s="916">
        <f>IF($C62=$B$33,$B$33,INDEX(Data!$G$14:$G$30,MATCH('R5 - Output Incentives'!E$6+RIGHT('R5 - Output Incentives'!$C62,2),Data!$C$14:$C$30,0),0))</f>
        <v>0.19</v>
      </c>
      <c r="F62" s="916">
        <f>IF($C62=$B$33,$B$33,INDEX(Data!$G$14:$G$30,MATCH('R5 - Output Incentives'!F$6+RIGHT('R5 - Output Incentives'!$C62,2),Data!$C$14:$C$30,0),0))</f>
        <v>0.19</v>
      </c>
      <c r="G62" s="916">
        <f>IF($C62=$B$33,$B$33,INDEX(Data!$G$14:$G$30,MATCH('R5 - Output Incentives'!G$6+RIGHT('R5 - Output Incentives'!$C62,2),Data!$C$14:$C$30,0),0))</f>
        <v>0.17</v>
      </c>
      <c r="H62" s="916">
        <f>IF($C62=$B$33,$B$33,INDEX(Data!$G$14:$G$30,MATCH('R5 - Output Incentives'!H$6+RIGHT('R5 - Output Incentives'!$C62,2),Data!$C$14:$C$30,0),0))</f>
        <v>0.17</v>
      </c>
      <c r="I62" s="916">
        <f>IF($C62=$B$33,$B$33,INDEX(Data!$G$14:$G$30,MATCH('R5 - Output Incentives'!I$6+RIGHT('R5 - Output Incentives'!$C62,2),Data!$C$14:$C$30,0),0))</f>
        <v>0.17</v>
      </c>
      <c r="J62" s="916">
        <f>IF($C62=$B$33,$B$33,INDEX(Data!$G$14:$G$30,MATCH('R5 - Output Incentives'!J$6+RIGHT('R5 - Output Incentives'!$C62,2),Data!$C$14:$C$30,0),0))</f>
        <v>0.17</v>
      </c>
      <c r="K62" s="917">
        <f>IF($C62=$B$33,$B$33,INDEX(Data!$G$14:$G$30,MATCH('R5 - Output Incentives'!K$6+RIGHT('R5 - Output Incentives'!$C62,2),Data!$C$14:$C$30,0),0))</f>
        <v>0.17</v>
      </c>
      <c r="L62" s="811"/>
      <c r="M62" s="812"/>
    </row>
    <row r="63" spans="1:13" s="2" customFormat="1">
      <c r="A63" s="168"/>
      <c r="B63" s="36" t="s">
        <v>210</v>
      </c>
      <c r="C63" s="163"/>
      <c r="D63" s="637">
        <f>IFERROR(D61*(1-D62),0)</f>
        <v>0.91975500000000021</v>
      </c>
      <c r="E63" s="638">
        <f t="shared" ref="E63:K63" si="20">IFERROR(E61*(1-E62),0)</f>
        <v>0.77178681257629389</v>
      </c>
      <c r="F63" s="638">
        <f t="shared" si="20"/>
        <v>0.97199999999999998</v>
      </c>
      <c r="G63" s="638">
        <f t="shared" si="20"/>
        <v>0.99599999999999989</v>
      </c>
      <c r="H63" s="638">
        <f t="shared" si="20"/>
        <v>0.64683589715131129</v>
      </c>
      <c r="I63" s="638">
        <f t="shared" si="20"/>
        <v>0.64683589715131129</v>
      </c>
      <c r="J63" s="638">
        <f t="shared" si="20"/>
        <v>0.64683589715131129</v>
      </c>
      <c r="K63" s="638">
        <f t="shared" si="20"/>
        <v>0.64683589715131129</v>
      </c>
      <c r="L63" s="696">
        <f>SUM(D63:INDEX(D63:K63,0,MATCH('RFPR cover'!$C$7,$D$6:$K$6,0)))</f>
        <v>3.6595418125762942</v>
      </c>
      <c r="M63" s="697">
        <f>SUM(D63:K63)</f>
        <v>6.2468854011815385</v>
      </c>
    </row>
    <row r="64" spans="1:13" s="2" customFormat="1">
      <c r="A64" s="168"/>
      <c r="B64" s="52"/>
      <c r="C64" s="164"/>
      <c r="D64" s="164"/>
      <c r="E64" s="164"/>
      <c r="F64" s="164"/>
      <c r="G64" s="164"/>
      <c r="H64" s="164"/>
      <c r="I64" s="164"/>
      <c r="J64" s="164"/>
      <c r="K64" s="164"/>
      <c r="L64" s="164"/>
      <c r="M64" s="164"/>
    </row>
    <row r="65" spans="1:14" s="2" customFormat="1">
      <c r="A65" s="168" t="str">
        <f>$A$15</f>
        <v>e</v>
      </c>
      <c r="B65" s="180" t="str">
        <f>INDEX($B$11:$B$15,MATCH($A65,$A$11:$A$15,0),0)&amp;""</f>
        <v>Losses discretionary reward scheme</v>
      </c>
      <c r="C65" s="163" t="str">
        <f>'RFPR cover'!$C$14</f>
        <v>£m 12/13</v>
      </c>
      <c r="D65" s="809">
        <f>INDEX($D$11:$K$17,MATCH($A65,$A$11:$A$17,0),0)</f>
        <v>0</v>
      </c>
      <c r="E65" s="809">
        <f t="shared" ref="E65:K65" si="21">INDEX($D$11:$K$17,MATCH($A65,$A$11:$A$17,0),0)</f>
        <v>0.04</v>
      </c>
      <c r="F65" s="809">
        <f t="shared" si="21"/>
        <v>0</v>
      </c>
      <c r="G65" s="809">
        <f t="shared" si="21"/>
        <v>0</v>
      </c>
      <c r="H65" s="809">
        <f t="shared" si="21"/>
        <v>0</v>
      </c>
      <c r="I65" s="809">
        <f t="shared" si="21"/>
        <v>0.02</v>
      </c>
      <c r="J65" s="809">
        <f t="shared" si="21"/>
        <v>0</v>
      </c>
      <c r="K65" s="809">
        <f t="shared" si="21"/>
        <v>0</v>
      </c>
      <c r="L65" s="698">
        <f>SUM(D65:INDEX(D65:K65,0,MATCH('RFPR cover'!$C$7,$D$6:$K$6,0)))</f>
        <v>0.04</v>
      </c>
      <c r="M65" s="699">
        <f>SUM(D65:K65)</f>
        <v>0.06</v>
      </c>
    </row>
    <row r="66" spans="1:14" s="2" customFormat="1">
      <c r="A66" s="168"/>
      <c r="B66" s="36" t="s">
        <v>201</v>
      </c>
      <c r="C66" s="309" t="s">
        <v>209</v>
      </c>
      <c r="D66" s="915">
        <f>IF($C66=$B$33,$B$33,INDEX(Data!$G$14:$G$30,MATCH('R5 - Output Incentives'!D$6+RIGHT('R5 - Output Incentives'!$C66,2),Data!$C$14:$C$30,0),0))</f>
        <v>0.2</v>
      </c>
      <c r="E66" s="916">
        <f>IF($C66=$B$33,$B$33,INDEX(Data!$G$14:$G$30,MATCH('R5 - Output Incentives'!E$6+RIGHT('R5 - Output Incentives'!$C66,2),Data!$C$14:$C$30,0),0))</f>
        <v>0.19</v>
      </c>
      <c r="F66" s="916">
        <f>IF($C66=$B$33,$B$33,INDEX(Data!$G$14:$G$30,MATCH('R5 - Output Incentives'!F$6+RIGHT('R5 - Output Incentives'!$C66,2),Data!$C$14:$C$30,0),0))</f>
        <v>0.19</v>
      </c>
      <c r="G66" s="916">
        <f>IF($C66=$B$33,$B$33,INDEX(Data!$G$14:$G$30,MATCH('R5 - Output Incentives'!G$6+RIGHT('R5 - Output Incentives'!$C66,2),Data!$C$14:$C$30,0),0))</f>
        <v>0.19</v>
      </c>
      <c r="H66" s="916">
        <f>IF($C66=$B$33,$B$33,INDEX(Data!$G$14:$G$30,MATCH('R5 - Output Incentives'!H$6+RIGHT('R5 - Output Incentives'!$C66,2),Data!$C$14:$C$30,0),0))</f>
        <v>0.17</v>
      </c>
      <c r="I66" s="916">
        <f>IF($C66=$B$33,$B$33,INDEX(Data!$G$14:$G$30,MATCH('R5 - Output Incentives'!I$6+RIGHT('R5 - Output Incentives'!$C66,2),Data!$C$14:$C$30,0),0))</f>
        <v>0.17</v>
      </c>
      <c r="J66" s="916">
        <f>IF($C66=$B$33,$B$33,INDEX(Data!$G$14:$G$30,MATCH('R5 - Output Incentives'!J$6+RIGHT('R5 - Output Incentives'!$C66,2),Data!$C$14:$C$30,0),0))</f>
        <v>0.17</v>
      </c>
      <c r="K66" s="917">
        <f>IF($C66=$B$33,$B$33,INDEX(Data!$G$14:$G$30,MATCH('R5 - Output Incentives'!K$6+RIGHT('R5 - Output Incentives'!$C66,2),Data!$C$14:$C$30,0),0))</f>
        <v>0.17</v>
      </c>
      <c r="L66" s="811"/>
      <c r="M66" s="812"/>
    </row>
    <row r="67" spans="1:14" s="2" customFormat="1">
      <c r="A67" s="168"/>
      <c r="B67" s="36" t="s">
        <v>210</v>
      </c>
      <c r="C67" s="163"/>
      <c r="D67" s="637">
        <f>IFERROR(D65*(1-D66),0)</f>
        <v>0</v>
      </c>
      <c r="E67" s="638">
        <f t="shared" ref="E67:K67" si="22">IFERROR(E65*(1-E66),0)</f>
        <v>3.2400000000000005E-2</v>
      </c>
      <c r="F67" s="638">
        <f t="shared" si="22"/>
        <v>0</v>
      </c>
      <c r="G67" s="638">
        <f t="shared" si="22"/>
        <v>0</v>
      </c>
      <c r="H67" s="638">
        <f t="shared" si="22"/>
        <v>0</v>
      </c>
      <c r="I67" s="638">
        <f t="shared" si="22"/>
        <v>1.66E-2</v>
      </c>
      <c r="J67" s="638">
        <f t="shared" si="22"/>
        <v>0</v>
      </c>
      <c r="K67" s="638">
        <f t="shared" si="22"/>
        <v>0</v>
      </c>
      <c r="L67" s="696">
        <f>SUM(D67:INDEX(D67:K67,0,MATCH('RFPR cover'!$C$7,$D$6:$K$6,0)))</f>
        <v>3.2400000000000005E-2</v>
      </c>
      <c r="M67" s="697">
        <f>SUM(D67:K67)</f>
        <v>4.9000000000000002E-2</v>
      </c>
    </row>
    <row r="68" spans="1:14" s="2" customFormat="1">
      <c r="A68" s="168"/>
      <c r="B68" s="52"/>
      <c r="C68" s="164"/>
      <c r="D68" s="164"/>
      <c r="E68" s="164"/>
      <c r="F68" s="164"/>
      <c r="G68" s="164"/>
      <c r="H68" s="164"/>
      <c r="I68" s="164"/>
      <c r="J68" s="164"/>
      <c r="K68" s="164"/>
      <c r="L68" s="164"/>
      <c r="M68" s="164"/>
    </row>
    <row r="69" spans="1:14" s="2" customFormat="1">
      <c r="A69" s="168" t="str">
        <f>$A$16</f>
        <v>f</v>
      </c>
      <c r="B69" s="180" t="str">
        <f>INDEX($B$11:$B$17,MATCH($A69,$A$11:$A$17,0),0)&amp;""</f>
        <v/>
      </c>
      <c r="C69" s="163" t="str">
        <f>'RFPR cover'!$C$14</f>
        <v>£m 12/13</v>
      </c>
      <c r="D69" s="809">
        <f>INDEX($D$11:$K$17,MATCH($A69,$A$11:$A$17,0),0)</f>
        <v>0</v>
      </c>
      <c r="E69" s="809">
        <f t="shared" ref="E69:K69" si="23">INDEX($D$11:$K$17,MATCH($A69,$A$11:$A$17,0),0)</f>
        <v>0</v>
      </c>
      <c r="F69" s="809">
        <f t="shared" si="23"/>
        <v>0</v>
      </c>
      <c r="G69" s="809">
        <f t="shared" si="23"/>
        <v>0</v>
      </c>
      <c r="H69" s="809">
        <f t="shared" si="23"/>
        <v>0</v>
      </c>
      <c r="I69" s="809">
        <f t="shared" si="23"/>
        <v>0</v>
      </c>
      <c r="J69" s="809">
        <f t="shared" si="23"/>
        <v>0</v>
      </c>
      <c r="K69" s="809">
        <f t="shared" si="23"/>
        <v>0</v>
      </c>
      <c r="L69" s="698">
        <f>SUM(D69:INDEX(D69:K69,0,MATCH('RFPR cover'!$C$7,$D$6:$K$6,0)))</f>
        <v>0</v>
      </c>
      <c r="M69" s="699">
        <f>SUM(D69:K69)</f>
        <v>0</v>
      </c>
    </row>
    <row r="70" spans="1:14" s="2" customFormat="1">
      <c r="A70" s="168"/>
      <c r="B70" s="36" t="s">
        <v>201</v>
      </c>
      <c r="C70" s="309" t="s">
        <v>209</v>
      </c>
      <c r="D70" s="915">
        <f>IF($C70=$B$33,$B$33,INDEX(Data!$G$14:$G$30,MATCH('R5 - Output Incentives'!D$6+RIGHT('R5 - Output Incentives'!$C70,2),Data!$C$14:$C$30,0),0))</f>
        <v>0.2</v>
      </c>
      <c r="E70" s="916">
        <f>IF($C70=$B$33,$B$33,INDEX(Data!$G$14:$G$30,MATCH('R5 - Output Incentives'!E$6+RIGHT('R5 - Output Incentives'!$C70,2),Data!$C$14:$C$30,0),0))</f>
        <v>0.19</v>
      </c>
      <c r="F70" s="916">
        <f>IF($C70=$B$33,$B$33,INDEX(Data!$G$14:$G$30,MATCH('R5 - Output Incentives'!F$6+RIGHT('R5 - Output Incentives'!$C70,2),Data!$C$14:$C$30,0),0))</f>
        <v>0.19</v>
      </c>
      <c r="G70" s="916">
        <f>IF($C70=$B$33,$B$33,INDEX(Data!$G$14:$G$30,MATCH('R5 - Output Incentives'!G$6+RIGHT('R5 - Output Incentives'!$C70,2),Data!$C$14:$C$30,0),0))</f>
        <v>0.19</v>
      </c>
      <c r="H70" s="916">
        <f>IF($C70=$B$33,$B$33,INDEX(Data!$G$14:$G$30,MATCH('R5 - Output Incentives'!H$6+RIGHT('R5 - Output Incentives'!$C70,2),Data!$C$14:$C$30,0),0))</f>
        <v>0.17</v>
      </c>
      <c r="I70" s="916">
        <f>IF($C70=$B$33,$B$33,INDEX(Data!$G$14:$G$30,MATCH('R5 - Output Incentives'!I$6+RIGHT('R5 - Output Incentives'!$C70,2),Data!$C$14:$C$30,0),0))</f>
        <v>0.17</v>
      </c>
      <c r="J70" s="916">
        <f>IF($C70=$B$33,$B$33,INDEX(Data!$G$14:$G$30,MATCH('R5 - Output Incentives'!J$6+RIGHT('R5 - Output Incentives'!$C70,2),Data!$C$14:$C$30,0),0))</f>
        <v>0.17</v>
      </c>
      <c r="K70" s="917">
        <f>IF($C70=$B$33,$B$33,INDEX(Data!$G$14:$G$30,MATCH('R5 - Output Incentives'!K$6+RIGHT('R5 - Output Incentives'!$C70,2),Data!$C$14:$C$30,0),0))</f>
        <v>0.17</v>
      </c>
      <c r="L70" s="811"/>
      <c r="M70" s="812"/>
    </row>
    <row r="71" spans="1:14" s="2" customFormat="1">
      <c r="A71" s="168"/>
      <c r="B71" s="36" t="s">
        <v>210</v>
      </c>
      <c r="C71" s="163"/>
      <c r="D71" s="637">
        <f>IFERROR(D69*(1-D70),0)</f>
        <v>0</v>
      </c>
      <c r="E71" s="638">
        <f t="shared" ref="E71:K71" si="24">IFERROR(E69*(1-E70),0)</f>
        <v>0</v>
      </c>
      <c r="F71" s="638">
        <f t="shared" si="24"/>
        <v>0</v>
      </c>
      <c r="G71" s="638">
        <f t="shared" si="24"/>
        <v>0</v>
      </c>
      <c r="H71" s="638">
        <f t="shared" si="24"/>
        <v>0</v>
      </c>
      <c r="I71" s="638">
        <f t="shared" si="24"/>
        <v>0</v>
      </c>
      <c r="J71" s="638">
        <f t="shared" si="24"/>
        <v>0</v>
      </c>
      <c r="K71" s="638">
        <f t="shared" si="24"/>
        <v>0</v>
      </c>
      <c r="L71" s="696">
        <f>SUM(D71:INDEX(D71:K71,0,MATCH('RFPR cover'!$C$7,$D$6:$K$6,0)))</f>
        <v>0</v>
      </c>
      <c r="M71" s="697">
        <f>SUM(D71:K71)</f>
        <v>0</v>
      </c>
    </row>
    <row r="72" spans="1:14" s="2" customFormat="1">
      <c r="A72" s="168"/>
      <c r="B72" s="52"/>
      <c r="C72" s="164"/>
      <c r="D72" s="164"/>
      <c r="E72" s="164"/>
      <c r="F72" s="164"/>
      <c r="G72" s="164"/>
      <c r="H72" s="164"/>
      <c r="I72" s="164"/>
      <c r="J72" s="164"/>
      <c r="K72" s="164"/>
      <c r="L72" s="164"/>
      <c r="M72" s="164"/>
    </row>
    <row r="73" spans="1:14" s="2" customFormat="1">
      <c r="A73" s="168" t="s">
        <v>481</v>
      </c>
      <c r="B73" s="180" t="str">
        <f>INDEX($B$11:$B$17,MATCH($A73,$A$11:$A$17,0),0)&amp;""</f>
        <v/>
      </c>
      <c r="C73" s="163" t="str">
        <f>'RFPR cover'!$C$14</f>
        <v>£m 12/13</v>
      </c>
      <c r="D73" s="809">
        <f>INDEX($D$11:$K$17,MATCH($A73,$A$11:$A$17,0),0)</f>
        <v>0</v>
      </c>
      <c r="E73" s="809">
        <f t="shared" ref="E73:K73" si="25">INDEX($D$11:$K$17,MATCH($A73,$A$11:$A$17,0),0)</f>
        <v>0</v>
      </c>
      <c r="F73" s="809">
        <f t="shared" si="25"/>
        <v>0</v>
      </c>
      <c r="G73" s="809">
        <f t="shared" si="25"/>
        <v>0</v>
      </c>
      <c r="H73" s="809">
        <f t="shared" si="25"/>
        <v>0</v>
      </c>
      <c r="I73" s="809">
        <f t="shared" si="25"/>
        <v>0</v>
      </c>
      <c r="J73" s="809">
        <f t="shared" si="25"/>
        <v>0</v>
      </c>
      <c r="K73" s="809">
        <f t="shared" si="25"/>
        <v>0</v>
      </c>
      <c r="L73" s="698">
        <f>SUM(D73:INDEX(D73:K73,0,MATCH('RFPR cover'!$C$7,$D$6:$K$6,0)))</f>
        <v>0</v>
      </c>
      <c r="M73" s="699">
        <f>SUM(D73:K73)</f>
        <v>0</v>
      </c>
    </row>
    <row r="74" spans="1:14" s="2" customFormat="1">
      <c r="A74" s="168"/>
      <c r="B74" s="36" t="s">
        <v>201</v>
      </c>
      <c r="C74" s="309" t="s">
        <v>209</v>
      </c>
      <c r="D74" s="915">
        <f>IF($C74=$B$33,$B$33,INDEX(Data!$G$14:$G$30,MATCH('R5 - Output Incentives'!D$6+RIGHT('R5 - Output Incentives'!$C74,2),Data!$C$14:$C$30,0),0))</f>
        <v>0.2</v>
      </c>
      <c r="E74" s="916">
        <f>IF($C74=$B$33,$B$33,INDEX(Data!$G$14:$G$30,MATCH('R5 - Output Incentives'!E$6+RIGHT('R5 - Output Incentives'!$C74,2),Data!$C$14:$C$30,0),0))</f>
        <v>0.19</v>
      </c>
      <c r="F74" s="916">
        <f>IF($C74=$B$33,$B$33,INDEX(Data!$G$14:$G$30,MATCH('R5 - Output Incentives'!F$6+RIGHT('R5 - Output Incentives'!$C74,2),Data!$C$14:$C$30,0),0))</f>
        <v>0.19</v>
      </c>
      <c r="G74" s="916">
        <f>IF($C74=$B$33,$B$33,INDEX(Data!$G$14:$G$30,MATCH('R5 - Output Incentives'!G$6+RIGHT('R5 - Output Incentives'!$C74,2),Data!$C$14:$C$30,0),0))</f>
        <v>0.19</v>
      </c>
      <c r="H74" s="916">
        <f>IF($C74=$B$33,$B$33,INDEX(Data!$G$14:$G$30,MATCH('R5 - Output Incentives'!H$6+RIGHT('R5 - Output Incentives'!$C74,2),Data!$C$14:$C$30,0),0))</f>
        <v>0.17</v>
      </c>
      <c r="I74" s="916">
        <f>IF($C74=$B$33,$B$33,INDEX(Data!$G$14:$G$30,MATCH('R5 - Output Incentives'!I$6+RIGHT('R5 - Output Incentives'!$C74,2),Data!$C$14:$C$30,0),0))</f>
        <v>0.17</v>
      </c>
      <c r="J74" s="916">
        <f>IF($C74=$B$33,$B$33,INDEX(Data!$G$14:$G$30,MATCH('R5 - Output Incentives'!J$6+RIGHT('R5 - Output Incentives'!$C74,2),Data!$C$14:$C$30,0),0))</f>
        <v>0.17</v>
      </c>
      <c r="K74" s="917">
        <f>IF($C74=$B$33,$B$33,INDEX(Data!$G$14:$G$30,MATCH('R5 - Output Incentives'!K$6+RIGHT('R5 - Output Incentives'!$C74,2),Data!$C$14:$C$30,0),0))</f>
        <v>0.17</v>
      </c>
      <c r="L74" s="811"/>
      <c r="M74" s="812"/>
    </row>
    <row r="75" spans="1:14" s="2" customFormat="1">
      <c r="A75" s="168"/>
      <c r="B75" s="36" t="s">
        <v>210</v>
      </c>
      <c r="C75" s="163"/>
      <c r="D75" s="637">
        <f>IFERROR(D73*(1-D74),0)</f>
        <v>0</v>
      </c>
      <c r="E75" s="638">
        <f t="shared" ref="E75:K75" si="26">IFERROR(E73*(1-E74),0)</f>
        <v>0</v>
      </c>
      <c r="F75" s="638">
        <f t="shared" si="26"/>
        <v>0</v>
      </c>
      <c r="G75" s="638">
        <f t="shared" si="26"/>
        <v>0</v>
      </c>
      <c r="H75" s="638">
        <f t="shared" si="26"/>
        <v>0</v>
      </c>
      <c r="I75" s="638">
        <f t="shared" si="26"/>
        <v>0</v>
      </c>
      <c r="J75" s="638">
        <f t="shared" si="26"/>
        <v>0</v>
      </c>
      <c r="K75" s="638">
        <f t="shared" si="26"/>
        <v>0</v>
      </c>
      <c r="L75" s="696">
        <f>SUM(D75:INDEX(D75:K75,0,MATCH('RFPR cover'!$C$7,$D$6:$K$6,0)))</f>
        <v>0</v>
      </c>
      <c r="M75" s="697">
        <f>SUM(D75:K75)</f>
        <v>0</v>
      </c>
    </row>
    <row r="76" spans="1:14" s="559" customFormat="1" ht="14.1" customHeight="1">
      <c r="A76" s="558"/>
      <c r="C76" s="560"/>
      <c r="D76" s="561"/>
      <c r="E76" s="561"/>
      <c r="F76" s="561"/>
      <c r="G76" s="561"/>
      <c r="H76" s="561"/>
      <c r="I76" s="561"/>
      <c r="J76" s="561"/>
      <c r="K76" s="561"/>
      <c r="L76" s="562"/>
      <c r="M76" s="562"/>
    </row>
    <row r="77" spans="1:14" s="2" customFormat="1">
      <c r="B77" s="118" t="s">
        <v>398</v>
      </c>
      <c r="C77" s="158"/>
      <c r="D77" s="141"/>
      <c r="E77" s="141"/>
      <c r="F77" s="141"/>
      <c r="G77" s="141"/>
      <c r="H77" s="141"/>
      <c r="I77" s="141"/>
      <c r="J77" s="141"/>
      <c r="K77" s="141"/>
      <c r="L77" s="82"/>
      <c r="M77" s="82"/>
      <c r="N77" s="82"/>
    </row>
    <row r="78" spans="1:14" s="2" customFormat="1">
      <c r="B78" s="388" t="s">
        <v>397</v>
      </c>
      <c r="C78" s="306"/>
      <c r="D78" s="307"/>
      <c r="E78" s="307"/>
      <c r="F78" s="307"/>
      <c r="G78" s="307"/>
      <c r="H78" s="307"/>
      <c r="I78" s="307"/>
      <c r="J78" s="307"/>
      <c r="K78" s="307"/>
      <c r="L78" s="308"/>
      <c r="M78" s="308"/>
      <c r="N78" s="308"/>
    </row>
    <row r="79" spans="1:14" s="2" customFormat="1">
      <c r="B79" s="388" t="s">
        <v>399</v>
      </c>
      <c r="C79" s="306"/>
      <c r="D79" s="307"/>
      <c r="E79" s="307"/>
      <c r="F79" s="307"/>
      <c r="G79" s="307"/>
      <c r="H79" s="307"/>
      <c r="I79" s="307"/>
      <c r="J79" s="307"/>
      <c r="K79" s="307"/>
      <c r="L79" s="308"/>
      <c r="M79" s="308"/>
      <c r="N79" s="308"/>
    </row>
    <row r="80" spans="1:14" s="559" customFormat="1">
      <c r="B80" s="564"/>
      <c r="C80" s="565"/>
      <c r="D80" s="566"/>
      <c r="E80" s="566"/>
      <c r="F80" s="566"/>
      <c r="G80" s="566"/>
      <c r="H80" s="566"/>
      <c r="I80" s="566"/>
      <c r="J80" s="566"/>
      <c r="K80" s="566"/>
    </row>
    <row r="81" spans="1:12" s="2" customFormat="1">
      <c r="B81" s="12"/>
      <c r="C81" s="567" t="s">
        <v>400</v>
      </c>
      <c r="D81" s="570" t="str">
        <f t="shared" ref="D81:K81" si="27">IF($C50=$B$33,D$6,IF(D$6-RIGHT($C50,1)&lt;$D$6,"Pre-RIIO",D$6-RIGHT($C50,1)))</f>
        <v>Pre-RIIO</v>
      </c>
      <c r="E81" s="571" t="str">
        <f t="shared" si="27"/>
        <v>Pre-RIIO</v>
      </c>
      <c r="F81" s="571">
        <f t="shared" si="27"/>
        <v>2016</v>
      </c>
      <c r="G81" s="571">
        <f t="shared" si="27"/>
        <v>2017</v>
      </c>
      <c r="H81" s="571">
        <f t="shared" si="27"/>
        <v>2018</v>
      </c>
      <c r="I81" s="571">
        <f t="shared" si="27"/>
        <v>2019</v>
      </c>
      <c r="J81" s="571">
        <f t="shared" si="27"/>
        <v>2020</v>
      </c>
      <c r="K81" s="572">
        <f t="shared" si="27"/>
        <v>2021</v>
      </c>
    </row>
    <row r="82" spans="1:12" s="2" customFormat="1">
      <c r="A82" s="3" t="str">
        <f>A11</f>
        <v>a</v>
      </c>
      <c r="B82" s="134" t="str">
        <f>B11&amp;""</f>
        <v>Broad measure of customer service</v>
      </c>
      <c r="C82" s="144" t="s">
        <v>128</v>
      </c>
      <c r="D82" s="665">
        <v>2.3880586688999994</v>
      </c>
      <c r="E82" s="666">
        <v>2.1673151658982968</v>
      </c>
      <c r="F82" s="666">
        <v>3.985476737729658</v>
      </c>
      <c r="G82" s="666">
        <v>4.128612600000003</v>
      </c>
      <c r="H82" s="666">
        <f>+F11*Data!E$34</f>
        <v>4.3164354743606053</v>
      </c>
      <c r="I82" s="666">
        <f>+G11*Data!F$34</f>
        <v>4.5178753628282449</v>
      </c>
      <c r="J82" s="666">
        <f>+H11*Data!G$34</f>
        <v>4.5850562474384438</v>
      </c>
      <c r="K82" s="667">
        <f>+I11*Data!H$34</f>
        <v>4.7122915583048606</v>
      </c>
    </row>
    <row r="83" spans="1:12" s="2" customFormat="1">
      <c r="A83" s="3"/>
      <c r="B83" s="134"/>
      <c r="C83" s="144"/>
      <c r="D83" s="144"/>
      <c r="E83" s="144"/>
      <c r="F83" s="144"/>
      <c r="G83" s="144"/>
      <c r="H83" s="144"/>
      <c r="I83" s="144"/>
      <c r="J83" s="144"/>
      <c r="K83" s="144"/>
      <c r="L83" s="144"/>
    </row>
    <row r="84" spans="1:12" s="2" customFormat="1">
      <c r="A84" s="3"/>
      <c r="B84" s="134"/>
      <c r="C84" s="567" t="s">
        <v>400</v>
      </c>
      <c r="D84" s="570" t="str">
        <f t="shared" ref="D84:K84" si="28">IF($C54=$B$33,D$6,IF(D$6-RIGHT($C54,1)&lt;$D$6,"Pre-RIIO",D$6-RIGHT($C54,1)))</f>
        <v>Pre-RIIO</v>
      </c>
      <c r="E84" s="571" t="str">
        <f t="shared" si="28"/>
        <v>Pre-RIIO</v>
      </c>
      <c r="F84" s="571">
        <f t="shared" si="28"/>
        <v>2016</v>
      </c>
      <c r="G84" s="571">
        <f t="shared" si="28"/>
        <v>2017</v>
      </c>
      <c r="H84" s="571">
        <f t="shared" si="28"/>
        <v>2018</v>
      </c>
      <c r="I84" s="571">
        <f t="shared" si="28"/>
        <v>2019</v>
      </c>
      <c r="J84" s="571">
        <f t="shared" si="28"/>
        <v>2020</v>
      </c>
      <c r="K84" s="572">
        <f t="shared" si="28"/>
        <v>2021</v>
      </c>
    </row>
    <row r="85" spans="1:12" s="2" customFormat="1">
      <c r="A85" s="3" t="str">
        <f>A12</f>
        <v>b</v>
      </c>
      <c r="B85" s="134" t="str">
        <f>B12&amp;""</f>
        <v>Interruptions-related quality of service</v>
      </c>
      <c r="C85" s="144" t="s">
        <v>128</v>
      </c>
      <c r="D85" s="665">
        <v>4.9079221662150001</v>
      </c>
      <c r="E85" s="666">
        <v>5.8106222910786931</v>
      </c>
      <c r="F85" s="666">
        <v>5.8223395612175697</v>
      </c>
      <c r="G85" s="666">
        <v>4.2084352807151353</v>
      </c>
      <c r="H85" s="666">
        <f>+F12*(1+(Data!G$63*Data!$E$83)+(Data!$C$83*(1-Data!$E$83)))*(1+(Data!H$63*Data!$E$83)+(Data!$C$83*(1-Data!$E$83)))*Data!G$34</f>
        <v>-0.45931465600676252</v>
      </c>
      <c r="I85" s="666">
        <f>+G12*(1+(Data!H$63*Data!$E$83)+(Data!$C$83*(1-Data!$E$83)))*(1+(Data!I$63*Data!$E$83)+(Data!$C$83*(1-Data!$E$83)))*Data!H$34</f>
        <v>4.3038344731322997</v>
      </c>
      <c r="J85" s="666">
        <f>+H12*(1+(Data!I$63*Data!$E$83)+(Data!$C$83*(1-Data!$E$83)))*(1+(Data!J$63*Data!$E$83)+(Data!$C$83*(1-Data!$E$83)))*Data!I$34</f>
        <v>2.7706537807235607</v>
      </c>
      <c r="K85" s="667">
        <f>+I12*(1+(Data!J$63*Data!$E$83)+(Data!$C$83*(1-Data!$E$83)))*(1+(Data!K$63*Data!$E$83)+(Data!$C$83*(1-Data!$E$83)))*Data!J$34</f>
        <v>2.5553727174644267</v>
      </c>
    </row>
    <row r="86" spans="1:12" s="2" customFormat="1">
      <c r="A86" s="3"/>
      <c r="B86" s="134"/>
      <c r="C86" s="144"/>
      <c r="D86" s="144"/>
      <c r="E86" s="144"/>
      <c r="F86" s="144"/>
      <c r="G86" s="144"/>
      <c r="H86" s="144"/>
      <c r="I86" s="144"/>
      <c r="J86" s="144"/>
      <c r="K86" s="144"/>
      <c r="L86" s="144"/>
    </row>
    <row r="87" spans="1:12" s="2" customFormat="1">
      <c r="A87" s="3"/>
      <c r="B87" s="134"/>
      <c r="C87" s="567" t="s">
        <v>400</v>
      </c>
      <c r="D87" s="570" t="str">
        <f t="shared" ref="D87:K87" si="29">IF($C58=$B$33,D$6,IF(D$6-RIGHT($C58,1)&lt;$D$6,"Pre-RIIO",D$6-RIGHT($C58,1)))</f>
        <v>Pre-RIIO</v>
      </c>
      <c r="E87" s="571" t="str">
        <f t="shared" si="29"/>
        <v>Pre-RIIO</v>
      </c>
      <c r="F87" s="571" t="str">
        <f t="shared" si="29"/>
        <v>Pre-RIIO</v>
      </c>
      <c r="G87" s="571">
        <f t="shared" si="29"/>
        <v>2016</v>
      </c>
      <c r="H87" s="571">
        <f t="shared" si="29"/>
        <v>2017</v>
      </c>
      <c r="I87" s="571">
        <f t="shared" si="29"/>
        <v>2018</v>
      </c>
      <c r="J87" s="571">
        <f t="shared" si="29"/>
        <v>2019</v>
      </c>
      <c r="K87" s="572">
        <f t="shared" si="29"/>
        <v>2020</v>
      </c>
    </row>
    <row r="88" spans="1:12" s="2" customFormat="1">
      <c r="A88" s="3" t="str">
        <f>A13</f>
        <v>c</v>
      </c>
      <c r="B88" s="134" t="str">
        <f>B13&amp;""</f>
        <v>Incentive on connections engagement</v>
      </c>
      <c r="C88" s="144" t="s">
        <v>128</v>
      </c>
      <c r="D88" s="665">
        <v>0</v>
      </c>
      <c r="E88" s="666">
        <v>0</v>
      </c>
      <c r="F88" s="666">
        <v>0</v>
      </c>
      <c r="G88" s="666">
        <f>+D13*Data!C$34</f>
        <v>0</v>
      </c>
      <c r="H88" s="666">
        <f>+E13*Data!D$34</f>
        <v>0</v>
      </c>
      <c r="I88" s="666">
        <f>+F13*Data!E$34</f>
        <v>0</v>
      </c>
      <c r="J88" s="666">
        <f>+G13*Data!F$34</f>
        <v>0</v>
      </c>
      <c r="K88" s="667">
        <f>+H13*Data!G$34</f>
        <v>0</v>
      </c>
    </row>
    <row r="89" spans="1:12" s="2" customFormat="1">
      <c r="A89" s="3"/>
      <c r="B89" s="134"/>
      <c r="C89" s="144"/>
      <c r="D89" s="144"/>
      <c r="E89" s="144"/>
      <c r="F89" s="144"/>
      <c r="G89" s="144"/>
      <c r="H89" s="144"/>
      <c r="I89" s="144"/>
      <c r="J89" s="144"/>
      <c r="K89" s="144"/>
      <c r="L89" s="144"/>
    </row>
    <row r="90" spans="1:12" s="2" customFormat="1">
      <c r="A90" s="3"/>
      <c r="B90" s="134"/>
      <c r="C90" s="567" t="s">
        <v>400</v>
      </c>
      <c r="D90" s="570" t="str">
        <f t="shared" ref="D90:K90" si="30">IF($C62=$B$33,D$6,IF(D$6-RIGHT($C62,1)&lt;$D$6,"Pre-RIIO",D$6-RIGHT($C62,1)))</f>
        <v>Pre-RIIO</v>
      </c>
      <c r="E90" s="571" t="str">
        <f t="shared" si="30"/>
        <v>Pre-RIIO</v>
      </c>
      <c r="F90" s="571">
        <f t="shared" si="30"/>
        <v>2016</v>
      </c>
      <c r="G90" s="571">
        <f t="shared" si="30"/>
        <v>2017</v>
      </c>
      <c r="H90" s="571">
        <f t="shared" si="30"/>
        <v>2018</v>
      </c>
      <c r="I90" s="571">
        <f t="shared" si="30"/>
        <v>2019</v>
      </c>
      <c r="J90" s="571">
        <f t="shared" si="30"/>
        <v>2020</v>
      </c>
      <c r="K90" s="572">
        <f t="shared" si="30"/>
        <v>2021</v>
      </c>
    </row>
    <row r="91" spans="1:12" s="2" customFormat="1">
      <c r="A91" s="3" t="str">
        <f>A14</f>
        <v>d</v>
      </c>
      <c r="B91" s="134" t="str">
        <f>B14&amp;""</f>
        <v>Time to Connect Incentive</v>
      </c>
      <c r="C91" s="144" t="s">
        <v>128</v>
      </c>
      <c r="D91" s="665">
        <v>0</v>
      </c>
      <c r="E91" s="666">
        <v>0</v>
      </c>
      <c r="F91" s="666">
        <v>1.2039896658833147</v>
      </c>
      <c r="G91" s="666">
        <v>1.0317740999999998</v>
      </c>
      <c r="H91" s="666">
        <f>+F14*Data!E$34</f>
        <v>1.348276693573107</v>
      </c>
      <c r="I91" s="666">
        <f>+G14*Data!F$34</f>
        <v>1.3894742004700111</v>
      </c>
      <c r="J91" s="666">
        <f>+H14*Data!G$34</f>
        <v>0.92605852213267892</v>
      </c>
      <c r="K91" s="667">
        <f>+I14*Data!H$34</f>
        <v>0.95175664612186073</v>
      </c>
    </row>
    <row r="92" spans="1:12" s="2" customFormat="1">
      <c r="A92" s="3"/>
      <c r="B92" s="134"/>
      <c r="C92" s="144"/>
      <c r="D92" s="144"/>
      <c r="E92" s="144"/>
      <c r="F92" s="144"/>
      <c r="G92" s="144"/>
      <c r="H92" s="144"/>
      <c r="I92" s="144"/>
      <c r="J92" s="144"/>
      <c r="K92" s="144"/>
      <c r="L92" s="144"/>
    </row>
    <row r="93" spans="1:12" s="2" customFormat="1">
      <c r="A93" s="3"/>
      <c r="B93" s="134"/>
      <c r="C93" s="567" t="s">
        <v>400</v>
      </c>
      <c r="D93" s="570" t="str">
        <f>IF($C66=$B$33,D$6,IF(D$6-RIGHT($C66,1)&lt;$D$6,"Pre-RIIO",D$6-RIGHT($C66,1)))</f>
        <v>Pre-RIIO</v>
      </c>
      <c r="E93" s="571">
        <f t="shared" ref="E93:K93" si="31">IF($C66=$B$33,E$6,IF(E$6-RIGHT($C66,1)&lt;$D$6,"Pre-RIIO",E$6-RIGHT($C66,1)))</f>
        <v>2016</v>
      </c>
      <c r="F93" s="571">
        <f t="shared" si="31"/>
        <v>2017</v>
      </c>
      <c r="G93" s="571">
        <f t="shared" si="31"/>
        <v>2018</v>
      </c>
      <c r="H93" s="571">
        <f t="shared" si="31"/>
        <v>2019</v>
      </c>
      <c r="I93" s="571">
        <f t="shared" si="31"/>
        <v>2020</v>
      </c>
      <c r="J93" s="571">
        <f t="shared" si="31"/>
        <v>2021</v>
      </c>
      <c r="K93" s="572">
        <f t="shared" si="31"/>
        <v>2022</v>
      </c>
    </row>
    <row r="94" spans="1:12" s="2" customFormat="1">
      <c r="A94" s="3" t="str">
        <f>A15</f>
        <v>e</v>
      </c>
      <c r="B94" s="134" t="str">
        <f>B15&amp;""</f>
        <v>Losses discretionary reward scheme</v>
      </c>
      <c r="C94" s="144" t="s">
        <v>128</v>
      </c>
      <c r="D94" s="665">
        <v>0</v>
      </c>
      <c r="E94" s="666">
        <v>0</v>
      </c>
      <c r="F94" s="666">
        <v>4.4839999999999998E-2</v>
      </c>
      <c r="G94" s="666">
        <v>0</v>
      </c>
      <c r="H94" s="666">
        <f>+G15*Data!F$34</f>
        <v>0</v>
      </c>
      <c r="I94" s="666">
        <f>+H15*Data!G$34</f>
        <v>0</v>
      </c>
      <c r="J94" s="666">
        <f>+I15*Data!H$34</f>
        <v>2.4425299206804946E-2</v>
      </c>
      <c r="K94" s="667">
        <f>+J15*Data!I$34</f>
        <v>0</v>
      </c>
    </row>
    <row r="95" spans="1:12" s="2" customFormat="1">
      <c r="A95" s="3"/>
      <c r="B95" s="134"/>
      <c r="C95" s="144"/>
      <c r="D95" s="144"/>
      <c r="E95" s="144"/>
      <c r="F95" s="144"/>
      <c r="G95" s="144"/>
      <c r="H95" s="144"/>
      <c r="I95" s="144"/>
      <c r="J95" s="144"/>
      <c r="K95" s="144"/>
      <c r="L95" s="144"/>
    </row>
    <row r="96" spans="1:12" s="2" customFormat="1">
      <c r="A96" s="3"/>
      <c r="B96" s="134"/>
      <c r="C96" s="567" t="s">
        <v>400</v>
      </c>
      <c r="D96" s="570" t="str">
        <f>IF($C70=$B$33,D$6,IF(D$6-RIGHT($C70,1)&lt;$D$6,"Pre-RIIO",D$6-RIGHT($C70,1)))</f>
        <v>Pre-RIIO</v>
      </c>
      <c r="E96" s="570">
        <f t="shared" ref="E96:K96" si="32">IF($C70=$B$33,E$6,IF(E$6-RIGHT($C70,1)&lt;$D$6,"Pre-RIIO",E$6-RIGHT($C70,1)))</f>
        <v>2016</v>
      </c>
      <c r="F96" s="570">
        <f t="shared" si="32"/>
        <v>2017</v>
      </c>
      <c r="G96" s="570">
        <f t="shared" si="32"/>
        <v>2018</v>
      </c>
      <c r="H96" s="570">
        <f t="shared" si="32"/>
        <v>2019</v>
      </c>
      <c r="I96" s="570">
        <f t="shared" si="32"/>
        <v>2020</v>
      </c>
      <c r="J96" s="570">
        <f t="shared" si="32"/>
        <v>2021</v>
      </c>
      <c r="K96" s="570">
        <f t="shared" si="32"/>
        <v>2022</v>
      </c>
    </row>
    <row r="97" spans="1:13" s="2" customFormat="1">
      <c r="A97" s="3" t="str">
        <f>A16</f>
        <v>f</v>
      </c>
      <c r="B97" s="134" t="str">
        <f>B16&amp;""</f>
        <v/>
      </c>
      <c r="C97" s="144" t="s">
        <v>128</v>
      </c>
      <c r="D97" s="665"/>
      <c r="E97" s="666"/>
      <c r="F97" s="666"/>
      <c r="G97" s="666"/>
      <c r="H97" s="644"/>
      <c r="I97" s="644"/>
      <c r="J97" s="644"/>
      <c r="K97" s="644"/>
    </row>
    <row r="98" spans="1:13" s="2" customFormat="1">
      <c r="A98" s="3"/>
      <c r="B98" s="134"/>
      <c r="C98" s="144"/>
      <c r="D98" s="144"/>
      <c r="E98" s="144"/>
      <c r="F98" s="144"/>
      <c r="G98" s="144"/>
      <c r="H98" s="144"/>
      <c r="I98" s="144"/>
      <c r="J98" s="144"/>
      <c r="K98" s="144"/>
      <c r="L98" s="144"/>
    </row>
    <row r="99" spans="1:13" s="2" customFormat="1">
      <c r="A99" s="3"/>
      <c r="B99" s="134"/>
      <c r="C99" s="567" t="s">
        <v>400</v>
      </c>
      <c r="D99" s="570" t="str">
        <f>IF($C74=$B$33,D$6,IF(D$6-RIGHT($C74,1)&lt;$D$6,"Pre-RIIO",D$6-RIGHT($C74,1)))</f>
        <v>Pre-RIIO</v>
      </c>
      <c r="E99" s="570">
        <f t="shared" ref="E99:K99" si="33">IF($C74=$B$33,E$6,IF(E$6-RIGHT($C74,1)&lt;$D$6,"Pre-RIIO",E$6-RIGHT($C74,1)))</f>
        <v>2016</v>
      </c>
      <c r="F99" s="570">
        <f t="shared" si="33"/>
        <v>2017</v>
      </c>
      <c r="G99" s="570">
        <f t="shared" si="33"/>
        <v>2018</v>
      </c>
      <c r="H99" s="570">
        <f t="shared" si="33"/>
        <v>2019</v>
      </c>
      <c r="I99" s="570">
        <f t="shared" si="33"/>
        <v>2020</v>
      </c>
      <c r="J99" s="570">
        <f t="shared" si="33"/>
        <v>2021</v>
      </c>
      <c r="K99" s="570">
        <f t="shared" si="33"/>
        <v>2022</v>
      </c>
    </row>
    <row r="100" spans="1:13" s="2" customFormat="1">
      <c r="A100" s="3" t="str">
        <f>A17</f>
        <v>g</v>
      </c>
      <c r="B100" s="134" t="str">
        <f>B17&amp;""</f>
        <v/>
      </c>
      <c r="C100" s="144" t="s">
        <v>128</v>
      </c>
      <c r="D100" s="665"/>
      <c r="E100" s="666"/>
      <c r="F100" s="666"/>
      <c r="G100" s="666"/>
      <c r="H100" s="644"/>
      <c r="I100" s="644"/>
      <c r="J100" s="644"/>
      <c r="K100" s="644"/>
    </row>
    <row r="101" spans="1:13" s="2" customFormat="1">
      <c r="A101" s="3"/>
      <c r="B101" s="134"/>
      <c r="C101" s="144"/>
      <c r="D101" s="144"/>
      <c r="E101" s="144"/>
      <c r="F101" s="144"/>
      <c r="G101" s="144"/>
      <c r="H101" s="144"/>
      <c r="I101" s="144"/>
      <c r="J101" s="144"/>
      <c r="K101" s="144"/>
      <c r="L101" s="144"/>
      <c r="M101" s="144"/>
    </row>
    <row r="102" spans="1:13" s="2" customFormat="1">
      <c r="B102" s="12" t="s">
        <v>158</v>
      </c>
      <c r="C102" s="165" t="s">
        <v>128</v>
      </c>
      <c r="D102" s="637">
        <f>SUM(D82,D85,D88,D91,D94,D97,D100)</f>
        <v>7.2959808351149995</v>
      </c>
      <c r="E102" s="637">
        <f t="shared" ref="E102:K102" si="34">SUM(E82,E85,E88,E91,E94,E97,E100)</f>
        <v>7.9779374569769903</v>
      </c>
      <c r="F102" s="637">
        <f t="shared" si="34"/>
        <v>11.056645964830542</v>
      </c>
      <c r="G102" s="637">
        <f t="shared" si="34"/>
        <v>9.3688219807151381</v>
      </c>
      <c r="H102" s="638">
        <f>SUM(H82,H85,H88,H91,H94,H97,H100)</f>
        <v>5.2053975119269493</v>
      </c>
      <c r="I102" s="638">
        <f t="shared" si="34"/>
        <v>10.211184036430556</v>
      </c>
      <c r="J102" s="638">
        <f t="shared" si="34"/>
        <v>8.3061938495014882</v>
      </c>
      <c r="K102" s="638">
        <f t="shared" si="34"/>
        <v>8.2194209218911478</v>
      </c>
    </row>
    <row r="103" spans="1:13" s="2" customFormat="1">
      <c r="C103" s="144"/>
    </row>
    <row r="104" spans="1:13" s="2" customFormat="1">
      <c r="A104" s="36"/>
      <c r="B104" s="12" t="s">
        <v>375</v>
      </c>
      <c r="C104" s="164"/>
      <c r="D104" s="164"/>
      <c r="E104" s="164"/>
      <c r="F104" s="164"/>
      <c r="G104" s="164"/>
      <c r="H104" s="164"/>
      <c r="I104" s="164"/>
      <c r="J104" s="164"/>
      <c r="K104" s="164"/>
      <c r="L104" s="164"/>
      <c r="M104" s="164"/>
    </row>
    <row r="105" spans="1:13" s="2" customFormat="1">
      <c r="A105" s="283" t="str">
        <f>A82</f>
        <v>a</v>
      </c>
      <c r="B105" s="991"/>
      <c r="C105" s="991"/>
      <c r="D105" s="991"/>
      <c r="E105" s="991"/>
      <c r="F105" s="991"/>
      <c r="G105" s="991"/>
      <c r="H105" s="991"/>
      <c r="I105" s="991"/>
      <c r="J105" s="991"/>
      <c r="K105" s="991"/>
      <c r="L105" s="991"/>
      <c r="M105" s="991"/>
    </row>
    <row r="106" spans="1:13" s="2" customFormat="1">
      <c r="A106" s="283" t="str">
        <f>A85</f>
        <v>b</v>
      </c>
      <c r="B106" s="991" t="str">
        <f>+B22</f>
        <v>2019 performance has yet to be finalised by Ofgem and is therefore subject to change.</v>
      </c>
      <c r="C106" s="991"/>
      <c r="D106" s="991"/>
      <c r="E106" s="991"/>
      <c r="F106" s="991"/>
      <c r="G106" s="991"/>
      <c r="H106" s="991"/>
      <c r="I106" s="991"/>
      <c r="J106" s="991"/>
      <c r="K106" s="991"/>
      <c r="L106" s="991"/>
      <c r="M106" s="991"/>
    </row>
    <row r="107" spans="1:13" s="2" customFormat="1">
      <c r="A107" s="283" t="str">
        <f>A88</f>
        <v>c</v>
      </c>
      <c r="B107" s="991"/>
      <c r="C107" s="991"/>
      <c r="D107" s="991"/>
      <c r="E107" s="991"/>
      <c r="F107" s="991"/>
      <c r="G107" s="991"/>
      <c r="H107" s="991"/>
      <c r="I107" s="991"/>
      <c r="J107" s="991"/>
      <c r="K107" s="991"/>
      <c r="L107" s="991"/>
      <c r="M107" s="991"/>
    </row>
    <row r="108" spans="1:13" s="2" customFormat="1" ht="27.75" customHeight="1">
      <c r="A108" s="283" t="str">
        <f>A91</f>
        <v>d</v>
      </c>
      <c r="B108" s="991" t="str">
        <f>+B24</f>
        <v>At the time of submission Electricity Distribution targets had not been finalised/confirmed by Ofgem for the final four years of ED1 (2020 through to and 2023). Targets for forecast years reflect those noted within Ofgems TTC consultation document. https://www.ofgem.gov.uk/publications-and-updates/electricity-time-connect-incentive-targets-consultation-regulatory-years-201920-202021-202122-and-202223</v>
      </c>
      <c r="C108" s="991"/>
      <c r="D108" s="991"/>
      <c r="E108" s="991"/>
      <c r="F108" s="991"/>
      <c r="G108" s="991"/>
      <c r="H108" s="991"/>
      <c r="I108" s="991"/>
      <c r="J108" s="991"/>
      <c r="K108" s="991"/>
      <c r="L108" s="991"/>
      <c r="M108" s="991"/>
    </row>
    <row r="109" spans="1:13" s="2" customFormat="1">
      <c r="A109" s="283" t="str">
        <f>A94</f>
        <v>e</v>
      </c>
      <c r="B109" s="991"/>
      <c r="C109" s="991"/>
      <c r="D109" s="991"/>
      <c r="E109" s="991"/>
      <c r="F109" s="991"/>
      <c r="G109" s="991"/>
      <c r="H109" s="991"/>
      <c r="I109" s="991"/>
      <c r="J109" s="991"/>
      <c r="K109" s="991"/>
      <c r="L109" s="991"/>
      <c r="M109" s="991"/>
    </row>
    <row r="110" spans="1:13" s="2" customFormat="1">
      <c r="A110" s="283" t="str">
        <f>A97</f>
        <v>f</v>
      </c>
      <c r="B110" s="990"/>
      <c r="C110" s="990"/>
      <c r="D110" s="990"/>
      <c r="E110" s="990"/>
      <c r="F110" s="990"/>
      <c r="G110" s="990"/>
      <c r="H110" s="990"/>
      <c r="I110" s="990"/>
      <c r="J110" s="990"/>
      <c r="K110" s="990"/>
      <c r="L110" s="990"/>
      <c r="M110" s="990"/>
    </row>
    <row r="111" spans="1:13" s="2" customFormat="1">
      <c r="A111" s="283" t="str">
        <f>A100</f>
        <v>g</v>
      </c>
      <c r="B111" s="990"/>
      <c r="C111" s="990"/>
      <c r="D111" s="990"/>
      <c r="E111" s="990"/>
      <c r="F111" s="990"/>
      <c r="G111" s="990"/>
      <c r="H111" s="990"/>
      <c r="I111" s="990"/>
      <c r="J111" s="990"/>
      <c r="K111" s="990"/>
      <c r="L111" s="990"/>
      <c r="M111" s="990"/>
    </row>
    <row r="112" spans="1:13" s="559" customFormat="1">
      <c r="A112" s="558"/>
      <c r="C112" s="560"/>
      <c r="D112" s="561"/>
      <c r="E112" s="561"/>
      <c r="F112" s="561"/>
      <c r="G112" s="561"/>
      <c r="H112" s="561"/>
      <c r="I112" s="561"/>
      <c r="J112" s="561"/>
      <c r="K112" s="561"/>
      <c r="L112" s="562"/>
      <c r="M112" s="562"/>
    </row>
    <row r="113" spans="1:14" s="559" customFormat="1">
      <c r="A113" s="558"/>
      <c r="C113" s="560"/>
      <c r="D113" s="560"/>
      <c r="E113" s="560"/>
      <c r="F113" s="560"/>
      <c r="G113" s="560"/>
      <c r="H113" s="560"/>
      <c r="I113" s="560"/>
      <c r="J113" s="560"/>
      <c r="K113" s="560"/>
      <c r="L113" s="560"/>
      <c r="M113" s="560"/>
    </row>
    <row r="114" spans="1:14" s="2" customFormat="1">
      <c r="A114" s="82"/>
      <c r="B114" s="82"/>
      <c r="C114" s="158"/>
      <c r="D114" s="82"/>
      <c r="E114" s="82"/>
      <c r="F114" s="82"/>
      <c r="G114" s="82"/>
      <c r="H114" s="82"/>
      <c r="I114" s="82"/>
      <c r="J114" s="82"/>
      <c r="K114" s="82"/>
      <c r="L114" s="82"/>
      <c r="M114" s="82"/>
      <c r="N114" s="82"/>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42" priority="31">
      <formula>AND(D$5="Actuals",E$5="Forecast")</formula>
    </cfRule>
  </conditionalFormatting>
  <conditionalFormatting sqref="D5:K5">
    <cfRule type="expression" dxfId="41"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69" fitToHeight="2" orientation="landscape" r:id="rId1"/>
  <rowBreaks count="1" manualBreakCount="1">
    <brk id="76"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ca9306fc-8436-45f0-b931-e34f519be3a3" ContentTypeId="0x010100BEF857C979C03448B587B28C0D359605" PreviousValue="true"/>
</file>

<file path=customXml/item3.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element uid="id_classification_nonbusiness" value=""/>
</sisl>
</file>

<file path=customXml/item5.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 xsi:nil="true"/>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Props1.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2.xml><?xml version="1.0" encoding="utf-8"?>
<ds:datastoreItem xmlns:ds="http://schemas.openxmlformats.org/officeDocument/2006/customXml" ds:itemID="{FDAA1E34-FF0B-44F6-BCB0-892CEABC3557}">
  <ds:schemaRefs>
    <ds:schemaRef ds:uri="Microsoft.SharePoint.Taxonomy.ContentTypeSync"/>
  </ds:schemaRefs>
</ds:datastoreItem>
</file>

<file path=customXml/itemProps3.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E1FF880-722F-4D7A-B111-60ABF501E3E9}">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CC285FE4-1466-4BF7-8FA9-67F63A3D57B8}">
  <ds:schemaRefs>
    <ds:schemaRef ds:uri="http://purl.org/dc/terms/"/>
    <ds:schemaRef ds:uri="http://schemas.microsoft.com/office/2006/documentManagement/types"/>
    <ds:schemaRef ds:uri="http://schemas.microsoft.com/sharepoint/v3/fields"/>
    <ds:schemaRef ds:uri="http://www.w3.org/XML/1998/namespace"/>
    <ds:schemaRef ds:uri="http://purl.org/dc/elements/1.1/"/>
    <ds:schemaRef ds:uri="http://schemas.openxmlformats.org/package/2006/metadata/core-properties"/>
    <ds:schemaRef ds:uri="http://schemas.microsoft.com/office/infopath/2007/PartnerControls"/>
    <ds:schemaRef ds:uri="631298fc-6a88-4548-b7d9-3b164918c4a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 Watson</dc:creator>
  <cp:lastModifiedBy>Armstrong, Scott R.</cp:lastModifiedBy>
  <cp:lastPrinted>2018-10-02T10:25:02Z</cp:lastPrinted>
  <dcterms:created xsi:type="dcterms:W3CDTF">2018-06-13T08:32:09Z</dcterms:created>
  <dcterms:modified xsi:type="dcterms:W3CDTF">2019-07-29T09:14:05Z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10" name="ContentTypeId">
    <vt:lpwstr>0x010100BEF857C979C03448B587B28C0D35960500299C6ADD4A6AB54A9176CBB9E1C669A7</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xmlns:xsd="http://www.w3.org/2001/XMLSchema" xmlns:xsi="http://www.w3.org/2001/XMLSchema-instance"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y fmtid="{D5CDD505-2E9C-101B-9397-08002B2CF9AE}" pid="21" name="SV_QUERY_LIST_4F35BF76-6C0D-4D9B-82B2-816C12CF3733">
    <vt:lpwstr>empty_477D106A-C0D6-4607-AEBD-E2C9D60EA279</vt:lpwstr>
  </property>
  <property fmtid="{D5CDD505-2E9C-101B-9397-08002B2CF9AE}" pid="22" name="SV_HIDDEN_GRID_QUERY_LIST_4F35BF76-6C0D-4D9B-82B2-816C12CF3733">
    <vt:lpwstr>empty_477D106A-C0D6-4607-AEBD-E2C9D60EA279</vt:lpwstr>
  </property>
</Properties>
</file>